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1970" windowHeight="3180" tabRatio="691" activeTab="0"/>
  </bookViews>
  <sheets>
    <sheet name="Tavola" sheetId="1" r:id="rId1"/>
    <sheet name="Tavola 2022-2023 " sheetId="2" r:id="rId2"/>
    <sheet name="Tavola 2021-2022" sheetId="3" r:id="rId3"/>
    <sheet name="Tavola 2020-2021" sheetId="4" r:id="rId4"/>
    <sheet name="Tavola 2019-2020" sheetId="5" r:id="rId5"/>
    <sheet name="Tavola 2018-2019" sheetId="6" r:id="rId6"/>
    <sheet name="Tavola 2017-2018" sheetId="7" r:id="rId7"/>
    <sheet name="Tavola 2016-2017" sheetId="8" r:id="rId8"/>
    <sheet name="Tavola 2015-2016" sheetId="9" r:id="rId9"/>
    <sheet name="Tavola 2014-2015" sheetId="10" r:id="rId10"/>
    <sheet name="Tavola 2013-2014" sheetId="11" r:id="rId11"/>
    <sheet name="Tavola 2012-2013" sheetId="12" r:id="rId12"/>
    <sheet name="Tavola 2011-2012" sheetId="13" r:id="rId13"/>
    <sheet name="Tavola 2010_2011" sheetId="14" r:id="rId14"/>
    <sheet name="Tavola 2009_2010" sheetId="15" r:id="rId15"/>
    <sheet name="Tavola 2008_2009" sheetId="16" r:id="rId16"/>
    <sheet name="Tavola 2007_2008" sheetId="17" r:id="rId17"/>
    <sheet name="Tavola 2006_2007" sheetId="18" r:id="rId18"/>
    <sheet name="Tavola 2005-2006" sheetId="19" r:id="rId19"/>
    <sheet name="Tavola 2004_2005" sheetId="20" r:id="rId20"/>
    <sheet name="Tavola 2003_2004" sheetId="21" r:id="rId21"/>
    <sheet name="Tavola 2002_2003" sheetId="22" r:id="rId22"/>
    <sheet name="Tavola 2001_2002" sheetId="23" r:id="rId23"/>
  </sheets>
  <definedNames>
    <definedName name="Anno_fine_tavola">#REF!</definedName>
    <definedName name="Anno_inizio_banca_dati">#REF!</definedName>
    <definedName name="_xlnm.Print_Area" localSheetId="0">'Tavola'!$A$1:$W$45</definedName>
    <definedName name="_xlnm.Print_Area" localSheetId="22">'Tavola 2001_2002'!$A$1:$L$17</definedName>
    <definedName name="_xlnm.Print_Area" localSheetId="21">'Tavola 2002_2003'!$A$1:$O$20</definedName>
    <definedName name="_xlnm.Print_Area" localSheetId="20">'Tavola 2003_2004'!$A$1:$O$20</definedName>
    <definedName name="_xlnm.Print_Area" localSheetId="19">'Tavola 2004_2005'!$A$1:$O$20</definedName>
    <definedName name="_xlnm.Print_Area" localSheetId="18">'Tavola 2005-2006'!$A$1:$P$37</definedName>
    <definedName name="_xlnm.Print_Area" localSheetId="17">'Tavola 2006_2007'!$A$1:$P$36</definedName>
    <definedName name="_xlnm.Print_Area" localSheetId="16">'Tavola 2007_2008'!$A$1:$S$37</definedName>
    <definedName name="_xlnm.Print_Area" localSheetId="15">'Tavola 2008_2009'!$A$1:$S$37</definedName>
    <definedName name="_xlnm.Print_Area" localSheetId="14">'Tavola 2009_2010'!$A$1:$S$37</definedName>
    <definedName name="_xlnm.Print_Area" localSheetId="13">'Tavola 2010_2011'!$A$1:$S$40</definedName>
    <definedName name="_xlnm.Print_Area" localSheetId="12">'Tavola 2011-2012'!$A$1:$S$38</definedName>
    <definedName name="_xlnm.Print_Area" localSheetId="11">'Tavola 2012-2013'!$A$1:$S$38</definedName>
    <definedName name="_xlnm.Print_Area" localSheetId="10">'Tavola 2013-2014'!$A$1:$S$38</definedName>
    <definedName name="_xlnm.Print_Area" localSheetId="9">'Tavola 2014-2015'!$A$1:$S$43</definedName>
    <definedName name="_xlnm.Print_Area" localSheetId="8">'Tavola 2015-2016'!$A$1:$S$44</definedName>
    <definedName name="_xlnm.Print_Area" localSheetId="7">'Tavola 2016-2017'!$A$1:$S$44</definedName>
    <definedName name="_xlnm.Print_Area" localSheetId="6">'Tavola 2017-2018'!$A$1:$S$44</definedName>
    <definedName name="_xlnm.Print_Area" localSheetId="5">'Tavola 2018-2019'!$A$1:$W$45</definedName>
    <definedName name="_xlnm.Print_Area" localSheetId="4">'Tavola 2019-2020'!$A$1:$W$45</definedName>
    <definedName name="_xlnm.Print_Area" localSheetId="3">'Tavola 2020-2021'!$A$1:$W$45</definedName>
    <definedName name="_xlnm.Print_Area" localSheetId="2">'Tavola 2021-2022'!$A$1:$W$45</definedName>
    <definedName name="_xlnm.Print_Area" localSheetId="1">'Tavola 2022-2023 '!$A$1:$W$45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<sst xmlns="http://schemas.openxmlformats.org/spreadsheetml/2006/main" count="1821" uniqueCount="148">
  <si>
    <t>Quartieri</t>
  </si>
  <si>
    <t>Pubbliche</t>
  </si>
  <si>
    <t>Comunali</t>
  </si>
  <si>
    <t>Statali</t>
  </si>
  <si>
    <t>Sezioni</t>
  </si>
  <si>
    <t>Alunni iscritti</t>
  </si>
  <si>
    <t>Numero</t>
  </si>
  <si>
    <t>Media per</t>
  </si>
  <si>
    <t xml:space="preserve"> sezione</t>
  </si>
  <si>
    <t>Borgo Panigale</t>
  </si>
  <si>
    <t>Navile</t>
  </si>
  <si>
    <t>Porto</t>
  </si>
  <si>
    <t>Reno</t>
  </si>
  <si>
    <t>S. Donato</t>
  </si>
  <si>
    <t>S. Stefano</t>
  </si>
  <si>
    <t>S. Vitale</t>
  </si>
  <si>
    <t>Saragozza</t>
  </si>
  <si>
    <t>Savena</t>
  </si>
  <si>
    <t>Totali</t>
  </si>
  <si>
    <t>di cui</t>
  </si>
  <si>
    <t>Totale</t>
  </si>
  <si>
    <t xml:space="preserve">Numero </t>
  </si>
  <si>
    <t xml:space="preserve"> Media per</t>
  </si>
  <si>
    <t>stranieri</t>
  </si>
  <si>
    <t>sezione</t>
  </si>
  <si>
    <t>(1)</t>
  </si>
  <si>
    <t xml:space="preserve"> La rilevazione degli alunni di origine straniera ha come campo di osservazione le scuole pubbliche e le scuole autonome convenzionate.</t>
  </si>
  <si>
    <t xml:space="preserve">con </t>
  </si>
  <si>
    <t>handicap</t>
  </si>
  <si>
    <t xml:space="preserve">   Bolognina</t>
  </si>
  <si>
    <t xml:space="preserve">   Corticella</t>
  </si>
  <si>
    <t xml:space="preserve">   Lame    </t>
  </si>
  <si>
    <t xml:space="preserve">   Marconi</t>
  </si>
  <si>
    <t xml:space="preserve">   Saffi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</si>
  <si>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</si>
  <si>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</si>
  <si>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</si>
  <si>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</si>
  <si>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</si>
  <si>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</si>
  <si>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</si>
  <si>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</si>
  <si>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</si>
  <si>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</si>
  <si>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 xml:space="preserve">   Costa Saragozza</t>
  </si>
  <si>
    <t xml:space="preserve">   Malpighi</t>
  </si>
  <si>
    <t xml:space="preserve">   Mazzini</t>
  </si>
  <si>
    <t xml:space="preserve">   San Ruffillo</t>
  </si>
  <si>
    <t>Bologna</t>
  </si>
  <si>
    <t>(2)</t>
  </si>
  <si>
    <t>(1) Dati aggiornati al 30/9/2005. Tra gli iscritti risultano 57 non residenti, dei quali 41 nelle scuole comunali e 16 nelle scuole statali.</t>
  </si>
  <si>
    <t>per</t>
  </si>
  <si>
    <t xml:space="preserve">   Media </t>
  </si>
  <si>
    <t xml:space="preserve">di cui </t>
  </si>
  <si>
    <t>(2) Bambini figli di genitori entrambi di nazionalità non italiana.</t>
  </si>
  <si>
    <t>(1) Bambini figli di genitori entrambi di nazionalità non italiana.</t>
  </si>
  <si>
    <t xml:space="preserve">(1) Dati aggiornati al 31/12/2006. </t>
  </si>
  <si>
    <t>femmine</t>
  </si>
  <si>
    <t>(3)</t>
  </si>
  <si>
    <t>(2) Rilevazione di genere a partire dall'anno scolastico 2007/2008.</t>
  </si>
  <si>
    <t>(3) Bambini figli di genitori entrambi di nazionalità non italiana.</t>
  </si>
  <si>
    <t xml:space="preserve">(1) Dati aggiornati al 31/12/2007 </t>
  </si>
  <si>
    <t>(1) Dati aggiornati al 31/12/2008</t>
  </si>
  <si>
    <t>Scuole dell'infanzia pubbliche (comunali e statali) per quartiere e zona</t>
  </si>
  <si>
    <t>Scuole dell'infanzia pubbliche (comunali e statali) per quartiere</t>
  </si>
  <si>
    <t>nell'anno scolastico 2008-2009</t>
  </si>
  <si>
    <t>nell'anno scolastico 2007-2008</t>
  </si>
  <si>
    <t>nell'anno scolastico 2006-2007</t>
  </si>
  <si>
    <t>nell'anno scolastico 2005-2006</t>
  </si>
  <si>
    <t>nell'anno scolastico 2004-2005</t>
  </si>
  <si>
    <t>nell'anno scolastico 2003-2004</t>
  </si>
  <si>
    <t>nell'anno scolastico 2002-2003</t>
  </si>
  <si>
    <t>nell'anno scolastico 2001-2002</t>
  </si>
  <si>
    <t>nell'anno scolastico 2009-2010</t>
  </si>
  <si>
    <t>(1) Dati aggiornati al 31/12/2009</t>
  </si>
  <si>
    <t>nell'anno scolastico 2010-2011</t>
  </si>
  <si>
    <t>(1) Dati aggiornati al 31/12/2010</t>
  </si>
  <si>
    <t>(4) Quartiere Navile: Aumentata 1 sezione statale Coop Azzurra</t>
  </si>
  <si>
    <t>(5) Quartiere Savena: Calate 2 sezioni comunali (Amici di Giovanni e Ferrari) e aumentata 1 sezione statale (Ferrari Nuova)</t>
  </si>
  <si>
    <t>(1) Dati aggiornati al 31/12/2011</t>
  </si>
  <si>
    <t>nell'anno scolastico 2011-2012</t>
  </si>
  <si>
    <t>nell'anno scolastico 2012-2013</t>
  </si>
  <si>
    <t>Q.re Porto 3 sez. (2 nella scuola Porto…Bello e 1 nella scuola Progetto UnoSei (a gestione esternalizzata)), Q.re S.Donato 1 sez (Rocca)</t>
  </si>
  <si>
    <t>(1) Dati aggiornati al 31/12/2012</t>
  </si>
  <si>
    <t>(5) Nel corso dell'a.s. 2012/13 sono state aperte varie sezioni part-time: Q.re Bolognina 2 sez (La Giostra - zona Bolognina),</t>
  </si>
  <si>
    <t>(4) Quartiere Savena: La scuola Ferrari Nuova è interamente statale dall'a.s. 2012/13.</t>
  </si>
  <si>
    <t>Q.re Savena 1 sez (Domenico Savio sede distaccata - zona Mazzini), Q.re S.Vitale 1 sez (Scandellara pt), Q.re Saragozza (Anna Serra pl.2 - 1 sez. pt in più).</t>
  </si>
  <si>
    <t>Scuole dell'infanzia pubbliche (comunali e statali) per quartiere e zona, sesso e cittadinanza degli alunni</t>
  </si>
  <si>
    <t>nell'anno scolastico 2013-2014</t>
  </si>
  <si>
    <t>(1) Dati aggiornati al 31/12/2013</t>
  </si>
  <si>
    <t>(5) Nel corso dell'a.s. 2013/14 sono state aperte 8 sezioni di scuole comunali a gestione esternalizzata: Q.re Bolognina 1 sez (Pollicino - zona Bolognina),</t>
  </si>
  <si>
    <t>Q.re Porto 2 sez. (Progetto UnoSei - zona Saffi), Q.re Saragozza 3 sez (Al Cinema - zona Malpighi) e q.re Savena 2 sez. (Paciugo - zona Mazzini).</t>
  </si>
  <si>
    <t>(6) Dall'a.s. le scuole Federzoni (Navile), La Giostra (Navile), T. Guidi (Porto) e Albertazzi (Reno) sono passate sotto la gestione statale.</t>
  </si>
  <si>
    <t>nell'anno scolastico 2014-2015</t>
  </si>
  <si>
    <t>(1) Dati aggiornati al 31/12/2014</t>
  </si>
  <si>
    <t>(6) Dall'a.s. 2013/14 le scuole Federzoni (Navile), La Giostra (Navile), T. Guidi (Porto) e Albertazzi (Reno) sono passate sotto la gestione statale.</t>
  </si>
  <si>
    <t>(7) Dall'a.s. 2014/15 la scuola Coop Azzurra (Navile) è passata completamente sotto la gestione statale. E' stata aumentata di 3 sezioni l'offerta persso scuole comunali a gestione esternalizzata.</t>
  </si>
  <si>
    <r>
      <t xml:space="preserve">Navile </t>
    </r>
    <r>
      <rPr>
        <b/>
        <sz val="7"/>
        <rFont val="Arial"/>
        <family val="2"/>
      </rPr>
      <t>(4)</t>
    </r>
  </si>
  <si>
    <r>
      <t xml:space="preserve">Savena </t>
    </r>
    <r>
      <rPr>
        <b/>
        <sz val="7"/>
        <rFont val="Arial"/>
        <family val="2"/>
      </rPr>
      <t>(5)</t>
    </r>
  </si>
  <si>
    <t>nell'anno scolastico 2015-2016</t>
  </si>
  <si>
    <t>(1) Dati aggiornati al 31/12/2015</t>
  </si>
  <si>
    <t>(8) Nell'a.s. 2015/16 la scuola Marzabotto (Saffi) si trova, per ristrutturazione, in un edificio nella zona Barca. Sono state chiuse inoltre due sezioni: 1 nella scuola Marzabotto e 1 nella scuola Padiglione (Galvani).</t>
  </si>
  <si>
    <t>nell'anno scolastico 2016-2017</t>
  </si>
  <si>
    <t>Zone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</si>
  <si>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</si>
  <si>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</si>
  <si>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</si>
  <si>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</si>
  <si>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</si>
  <si>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</si>
  <si>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</si>
  <si>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</si>
  <si>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</si>
  <si>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</si>
  <si>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</si>
  <si>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</si>
  <si>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</si>
  <si>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</si>
  <si>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</si>
  <si>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</si>
  <si>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</si>
  <si>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</si>
  <si>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</si>
  <si>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</si>
  <si>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</si>
  <si>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</si>
  <si>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</si>
  <si>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 xml:space="preserve">(1) Dati aggiornati al 31/12/2016. </t>
  </si>
  <si>
    <t>nell'anno scolastico 2017-2018</t>
  </si>
  <si>
    <t xml:space="preserve">(1) Dati aggiornati al 31/12/2017. </t>
  </si>
  <si>
    <t>nell'anno scolastico 2018-2019</t>
  </si>
  <si>
    <t>(1) Dati aggiornati al 31/12/2018.</t>
  </si>
  <si>
    <t>nell'anno scolastico 2019-2020</t>
  </si>
  <si>
    <t>nell'anno scolastico 2020-2021</t>
  </si>
  <si>
    <t>(1) Dati aggiornati al 31/12/2020.</t>
  </si>
  <si>
    <t>Nell'a.s. 2017/18 la scuola Marzabotto precedentemente trasferita, causa ristrutturazione, nella sede dell'ex scuola Luigi Pagani è stata chiusa.</t>
  </si>
  <si>
    <t>Q.re S. Stefano: finiti i lavori presso la scuola Padiglione con aumento di 50 posti e due sezioni. Q.re Savena: Attivazione di una sezione di scuola dell'infanzia eterogenea ( 21 posti) presso Nido Comunale Pezzoli a gestione diretta</t>
  </si>
  <si>
    <t>Q.re Navile: Attivazione di una sezione eterogenea (26 posti) presso Elefantino Blù Comunale a gestione indiretta Sogg.Gestore Consorzio Karabak.</t>
  </si>
  <si>
    <t>Nell'a.s. 2018/19: E' stata attivata una sezione di materna presso un nido del Q.re Savena, per 25 posti.</t>
  </si>
  <si>
    <t>Nell'a.s. 2019/20: nel Q.re S.Donato-S.Vitale è stata aperta una nuova sezione in una scuola, mentre in un'altra scuola è stata chiusa una sezione.</t>
  </si>
  <si>
    <t>Nell'a.s. 2020/21: in molte sezioni sono stati ridotti i positi disponibili a causa della normativa per la prevenzione della pandemia.</t>
  </si>
  <si>
    <t>(1) Dati aggiornati al 31/12/2019.</t>
  </si>
  <si>
    <t>Fonte: Comune di Bologna - Area educazione istruzione e nuove generazioni</t>
  </si>
  <si>
    <t>nell'anno scolastico 2021-2022</t>
  </si>
  <si>
    <t>nell'anno scolastico 2022-2023</t>
  </si>
  <si>
    <t>(1) Dati aggiornati al 31/12/2022.</t>
  </si>
  <si>
    <t>(1) Dati aggiornati al 31/12/2023.</t>
  </si>
  <si>
    <t>nell'anno scolastico 2023-2024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</si>
</sst>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&quot;L.&quot;0"/>
    <numFmt numFmtId="198" formatCode="#,##0.0"/>
    <numFmt numFmtId="199" formatCode="0.0"/>
  </numFmts>
  <fonts count="63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sz val="9"/>
      <color indexed="10"/>
      <name val="Helvetica-Narrow"/>
      <family val="2"/>
    </font>
    <font>
      <b/>
      <sz val="8"/>
      <name val="Helvetica-Narrow"/>
      <family val="2"/>
    </font>
    <font>
      <i/>
      <sz val="9"/>
      <name val="Helvetica-Narrow"/>
      <family val="2"/>
    </font>
    <font>
      <b/>
      <i/>
      <sz val="9"/>
      <name val="Helvetica-Narrow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51" fillId="28" borderId="1" applyNumberFormat="0" applyAlignment="0" applyProtection="0"/>
    <xf numFmtId="4" fontId="4" fillId="0" borderId="0" applyFont="0" applyFill="0" applyBorder="0" applyAlignment="0" applyProtection="0"/>
    <xf numFmtId="169" fontId="13" fillId="0" borderId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NumberFormat="0" applyAlignment="0" applyProtection="0"/>
    <xf numFmtId="0" fontId="13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53" fillId="20" borderId="7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5" fontId="4" fillId="0" borderId="0" applyFont="0" applyFill="0" applyBorder="0" applyAlignment="0" applyProtection="0"/>
    <xf numFmtId="168" fontId="13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92" fontId="0" fillId="0" borderId="0" xfId="0" applyNumberForma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92" fontId="5" fillId="0" borderId="0" xfId="42" applyNumberFormat="1" applyBorder="1" applyAlignment="1" applyProtection="1">
      <alignment/>
      <protection locked="0"/>
    </xf>
    <xf numFmtId="0" fontId="5" fillId="0" borderId="0" xfId="42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192" fontId="9" fillId="0" borderId="0" xfId="0" applyNumberFormat="1" applyFont="1" applyAlignment="1" applyProtection="1">
      <alignment horizontal="center"/>
      <protection locked="0"/>
    </xf>
    <xf numFmtId="192" fontId="9" fillId="0" borderId="0" xfId="0" applyNumberFormat="1" applyFont="1" applyFill="1" applyAlignment="1" applyProtection="1">
      <alignment horizontal="center"/>
      <protection locked="0"/>
    </xf>
    <xf numFmtId="192" fontId="5" fillId="0" borderId="0" xfId="42" applyNumberFormat="1" applyFont="1" applyBorder="1" applyAlignment="1" applyProtection="1">
      <alignment/>
      <protection locked="0"/>
    </xf>
    <xf numFmtId="0" fontId="5" fillId="0" borderId="0" xfId="42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Continuous"/>
    </xf>
    <xf numFmtId="192" fontId="0" fillId="0" borderId="0" xfId="0" applyNumberFormat="1" applyFont="1" applyBorder="1" applyAlignment="1" applyProtection="1">
      <alignment horizontal="right" vertical="center"/>
      <protection locked="0"/>
    </xf>
    <xf numFmtId="192" fontId="0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9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92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192" fontId="1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 quotePrefix="1">
      <alignment horizontal="right"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192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3" fontId="14" fillId="0" borderId="0" xfId="52" applyNumberFormat="1" applyFont="1" applyFill="1" applyAlignment="1" applyProtection="1">
      <alignment/>
      <protection locked="0"/>
    </xf>
    <xf numFmtId="0" fontId="14" fillId="0" borderId="0" xfId="52" applyFont="1" applyFill="1" applyBorder="1">
      <alignment/>
      <protection/>
    </xf>
    <xf numFmtId="3" fontId="14" fillId="0" borderId="0" xfId="52" applyNumberFormat="1" applyFont="1" applyFill="1" applyBorder="1" applyAlignment="1" applyProtection="1">
      <alignment/>
      <protection locked="0"/>
    </xf>
    <xf numFmtId="192" fontId="15" fillId="0" borderId="0" xfId="42" applyNumberFormat="1" applyFont="1" applyBorder="1" applyAlignment="1" applyProtection="1">
      <alignment/>
      <protection locked="0"/>
    </xf>
    <xf numFmtId="0" fontId="15" fillId="0" borderId="0" xfId="42" applyFont="1" applyBorder="1" applyAlignment="1" applyProtection="1">
      <alignment/>
      <protection locked="0"/>
    </xf>
    <xf numFmtId="192" fontId="16" fillId="0" borderId="0" xfId="42" applyNumberFormat="1" applyFont="1" applyBorder="1" applyAlignment="1" applyProtection="1" quotePrefix="1">
      <alignment horizontal="right"/>
      <protection locked="0"/>
    </xf>
    <xf numFmtId="192" fontId="17" fillId="0" borderId="0" xfId="42" applyNumberFormat="1" applyFont="1" applyBorder="1" applyAlignment="1" applyProtection="1">
      <alignment/>
      <protection locked="0"/>
    </xf>
    <xf numFmtId="192" fontId="18" fillId="0" borderId="5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12" xfId="0" applyFont="1" applyBorder="1" applyAlignment="1">
      <alignment horizontal="center"/>
    </xf>
    <xf numFmtId="192" fontId="18" fillId="0" borderId="0" xfId="0" applyNumberFormat="1" applyFont="1" applyAlignment="1" applyProtection="1">
      <alignment vertical="center"/>
      <protection locked="0"/>
    </xf>
    <xf numFmtId="192" fontId="18" fillId="0" borderId="0" xfId="0" applyNumberFormat="1" applyFont="1" applyBorder="1" applyAlignment="1" applyProtection="1">
      <alignment horizontal="right" vertical="center"/>
      <protection locked="0"/>
    </xf>
    <xf numFmtId="192" fontId="18" fillId="0" borderId="0" xfId="0" applyNumberFormat="1" applyFont="1" applyAlignment="1" applyProtection="1">
      <alignment horizontal="right" vertical="center"/>
      <protection locked="0"/>
    </xf>
    <xf numFmtId="192" fontId="19" fillId="0" borderId="0" xfId="0" applyNumberFormat="1" applyFont="1" applyAlignment="1" applyProtection="1">
      <alignment horizontal="right" vertical="center"/>
      <protection locked="0"/>
    </xf>
    <xf numFmtId="192" fontId="18" fillId="0" borderId="0" xfId="0" applyNumberFormat="1" applyFont="1" applyAlignment="1" applyProtection="1">
      <alignment horizontal="center" vertical="center"/>
      <protection locked="0"/>
    </xf>
    <xf numFmtId="192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192" fontId="18" fillId="0" borderId="13" xfId="0" applyNumberFormat="1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vertical="center"/>
    </xf>
    <xf numFmtId="49" fontId="19" fillId="0" borderId="13" xfId="0" applyNumberFormat="1" applyFont="1" applyBorder="1" applyAlignment="1" applyProtection="1" quotePrefix="1">
      <alignment horizontal="right" vertical="center"/>
      <protection locked="0"/>
    </xf>
    <xf numFmtId="49" fontId="19" fillId="0" borderId="13" xfId="0" applyNumberFormat="1" applyFont="1" applyBorder="1" applyAlignment="1" applyProtection="1">
      <alignment horizontal="right" vertical="center"/>
      <protection locked="0"/>
    </xf>
    <xf numFmtId="192" fontId="18" fillId="0" borderId="13" xfId="0" applyNumberFormat="1" applyFont="1" applyBorder="1" applyAlignment="1" applyProtection="1">
      <alignment horizontal="center" vertical="center"/>
      <protection locked="0"/>
    </xf>
    <xf numFmtId="192" fontId="18" fillId="0" borderId="13" xfId="0" applyNumberFormat="1" applyFont="1" applyBorder="1" applyAlignment="1" applyProtection="1">
      <alignment horizontal="right" vertical="center"/>
      <protection locked="0"/>
    </xf>
    <xf numFmtId="3" fontId="20" fillId="0" borderId="0" xfId="0" applyNumberFormat="1" applyFont="1" applyAlignment="1" applyProtection="1">
      <alignment/>
      <protection/>
    </xf>
    <xf numFmtId="3" fontId="21" fillId="0" borderId="0" xfId="52" applyNumberFormat="1" applyFont="1" applyFill="1" applyAlignment="1" applyProtection="1">
      <alignment/>
      <protection locked="0"/>
    </xf>
    <xf numFmtId="0" fontId="21" fillId="0" borderId="0" xfId="52" applyFont="1" applyFill="1" applyBorder="1">
      <alignment/>
      <protection/>
    </xf>
    <xf numFmtId="3" fontId="22" fillId="0" borderId="0" xfId="52" applyNumberFormat="1" applyFont="1" applyFill="1" applyAlignment="1" applyProtection="1">
      <alignment/>
      <protection/>
    </xf>
    <xf numFmtId="198" fontId="20" fillId="0" borderId="0" xfId="0" applyNumberFormat="1" applyFont="1" applyFill="1" applyAlignment="1" applyProtection="1">
      <alignment/>
      <protection locked="0"/>
    </xf>
    <xf numFmtId="198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>
      <alignment/>
    </xf>
    <xf numFmtId="3" fontId="18" fillId="0" borderId="0" xfId="0" applyNumberFormat="1" applyFont="1" applyAlignment="1" applyProtection="1">
      <alignment/>
      <protection/>
    </xf>
    <xf numFmtId="3" fontId="24" fillId="0" borderId="0" xfId="52" applyNumberFormat="1" applyFont="1" applyFill="1" applyAlignment="1" applyProtection="1">
      <alignment/>
      <protection/>
    </xf>
    <xf numFmtId="198" fontId="18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0" fontId="25" fillId="0" borderId="0" xfId="52" applyFont="1" applyFill="1">
      <alignment/>
      <protection/>
    </xf>
    <xf numFmtId="3" fontId="14" fillId="0" borderId="0" xfId="52" applyNumberFormat="1" applyFont="1" applyFill="1" applyAlignment="1" applyProtection="1">
      <alignment horizontal="right"/>
      <protection locked="0"/>
    </xf>
    <xf numFmtId="0" fontId="14" fillId="0" borderId="0" xfId="52" applyFont="1" applyFill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198" fontId="18" fillId="0" borderId="0" xfId="0" applyNumberFormat="1" applyFont="1" applyBorder="1" applyAlignment="1" applyProtection="1">
      <alignment/>
      <protection locked="0"/>
    </xf>
    <xf numFmtId="3" fontId="24" fillId="0" borderId="0" xfId="52" applyNumberFormat="1" applyFont="1" applyFill="1" applyBorder="1" applyAlignment="1" applyProtection="1">
      <alignment/>
      <protection/>
    </xf>
    <xf numFmtId="3" fontId="20" fillId="0" borderId="13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/>
      <protection/>
    </xf>
    <xf numFmtId="3" fontId="23" fillId="0" borderId="13" xfId="0" applyNumberFormat="1" applyFont="1" applyBorder="1" applyAlignment="1" applyProtection="1">
      <alignment/>
      <protection locked="0"/>
    </xf>
    <xf numFmtId="198" fontId="20" fillId="0" borderId="13" xfId="0" applyNumberFormat="1" applyFont="1" applyBorder="1" applyAlignment="1" applyProtection="1">
      <alignment/>
      <protection locked="0"/>
    </xf>
    <xf numFmtId="3" fontId="23" fillId="0" borderId="13" xfId="0" applyNumberFormat="1" applyFont="1" applyBorder="1" applyAlignment="1" applyProtection="1">
      <alignment vertical="center"/>
      <protection locked="0"/>
    </xf>
    <xf numFmtId="198" fontId="20" fillId="0" borderId="13" xfId="0" applyNumberFormat="1" applyFont="1" applyBorder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 vertical="center"/>
      <protection locked="0"/>
    </xf>
    <xf numFmtId="198" fontId="20" fillId="0" borderId="0" xfId="0" applyNumberFormat="1" applyFont="1" applyBorder="1" applyAlignment="1" applyProtection="1">
      <alignment/>
      <protection locked="0"/>
    </xf>
    <xf numFmtId="198" fontId="20" fillId="0" borderId="0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 locked="0"/>
    </xf>
    <xf numFmtId="198" fontId="27" fillId="0" borderId="0" xfId="0" applyNumberFormat="1" applyFont="1" applyBorder="1" applyAlignment="1" applyProtection="1">
      <alignment vertical="center"/>
      <protection locked="0"/>
    </xf>
    <xf numFmtId="3" fontId="26" fillId="0" borderId="0" xfId="0" applyNumberFormat="1" applyFont="1" applyAlignment="1" applyProtection="1">
      <alignment/>
      <protection locked="0"/>
    </xf>
    <xf numFmtId="3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92" fontId="18" fillId="0" borderId="0" xfId="0" applyNumberFormat="1" applyFont="1" applyAlignment="1" applyProtection="1">
      <alignment horizontal="center"/>
      <protection locked="0"/>
    </xf>
    <xf numFmtId="192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192" fontId="18" fillId="0" borderId="0" xfId="0" applyNumberFormat="1" applyFont="1" applyBorder="1" applyAlignment="1" applyProtection="1">
      <alignment horizontal="centerContinuous" vertical="center"/>
      <protection locked="0"/>
    </xf>
    <xf numFmtId="193" fontId="18" fillId="0" borderId="13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/>
    </xf>
    <xf numFmtId="199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199" fontId="18" fillId="0" borderId="0" xfId="0" applyNumberFormat="1" applyFont="1" applyAlignment="1" applyProtection="1">
      <alignment/>
      <protection/>
    </xf>
    <xf numFmtId="194" fontId="26" fillId="0" borderId="0" xfId="0" applyNumberFormat="1" applyFont="1" applyAlignment="1" applyProtection="1">
      <alignment horizontal="center"/>
      <protection/>
    </xf>
    <xf numFmtId="199" fontId="18" fillId="0" borderId="0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center"/>
      <protection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20" fillId="0" borderId="13" xfId="0" applyFont="1" applyBorder="1" applyAlignment="1" applyProtection="1">
      <alignment vertical="center"/>
      <protection locked="0"/>
    </xf>
    <xf numFmtId="199" fontId="20" fillId="0" borderId="13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199" fontId="20" fillId="0" borderId="13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vertical="center"/>
    </xf>
    <xf numFmtId="0" fontId="26" fillId="0" borderId="0" xfId="0" applyFont="1" applyAlignment="1" applyProtection="1">
      <alignment vertical="top"/>
      <protection locked="0"/>
    </xf>
    <xf numFmtId="3" fontId="26" fillId="0" borderId="0" xfId="0" applyNumberFormat="1" applyFont="1" applyAlignment="1" applyProtection="1">
      <alignment vertical="top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/>
      <protection locked="0"/>
    </xf>
    <xf numFmtId="192" fontId="18" fillId="0" borderId="0" xfId="0" applyNumberFormat="1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12" xfId="0" applyFont="1" applyBorder="1" applyAlignment="1">
      <alignment horizontal="centerContinuous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49" fontId="19" fillId="0" borderId="0" xfId="0" applyNumberFormat="1" applyFont="1" applyBorder="1" applyAlignment="1" applyProtection="1" quotePrefix="1">
      <alignment horizontal="right" vertical="center"/>
      <protection locked="0"/>
    </xf>
    <xf numFmtId="3" fontId="19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3" fontId="18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/>
      <protection locked="0"/>
    </xf>
    <xf numFmtId="192" fontId="28" fillId="0" borderId="0" xfId="0" applyNumberFormat="1" applyFont="1" applyFill="1" applyAlignment="1" applyProtection="1">
      <alignment horizontal="center"/>
      <protection locked="0"/>
    </xf>
    <xf numFmtId="199" fontId="18" fillId="0" borderId="0" xfId="0" applyNumberFormat="1" applyFont="1" applyAlignment="1" applyProtection="1">
      <alignment/>
      <protection locked="0"/>
    </xf>
    <xf numFmtId="198" fontId="18" fillId="0" borderId="0" xfId="0" applyNumberFormat="1" applyFont="1" applyAlignment="1" applyProtection="1">
      <alignment/>
      <protection/>
    </xf>
    <xf numFmtId="198" fontId="20" fillId="0" borderId="13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/>
      <protection/>
    </xf>
    <xf numFmtId="0" fontId="18" fillId="0" borderId="0" xfId="0" applyFont="1" applyBorder="1" applyAlignment="1">
      <alignment/>
    </xf>
    <xf numFmtId="198" fontId="20" fillId="0" borderId="0" xfId="0" applyNumberFormat="1" applyFont="1" applyAlignment="1" applyProtection="1">
      <alignment/>
      <protection/>
    </xf>
    <xf numFmtId="3" fontId="20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19" fillId="0" borderId="0" xfId="0" applyNumberFormat="1" applyFont="1" applyBorder="1" applyAlignment="1" applyProtection="1">
      <alignment/>
      <protection/>
    </xf>
    <xf numFmtId="198" fontId="18" fillId="0" borderId="0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192" fontId="20" fillId="0" borderId="0" xfId="0" applyNumberFormat="1" applyFont="1" applyAlignment="1" applyProtection="1">
      <alignment horizontal="left"/>
      <protection locked="0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3" fontId="24" fillId="0" borderId="0" xfId="52" applyNumberFormat="1" applyFont="1" applyFill="1" applyAlignment="1" applyProtection="1">
      <alignment/>
      <protection locked="0"/>
    </xf>
    <xf numFmtId="3" fontId="22" fillId="0" borderId="0" xfId="52" applyNumberFormat="1" applyFont="1" applyFill="1" applyAlignment="1" applyProtection="1">
      <alignment/>
      <protection locked="0"/>
    </xf>
    <xf numFmtId="3" fontId="18" fillId="0" borderId="0" xfId="50" applyNumberFormat="1" applyFont="1" applyAlignment="1" applyProtection="1">
      <alignment horizontal="right"/>
      <protection locked="0"/>
    </xf>
    <xf numFmtId="0" fontId="18" fillId="0" borderId="0" xfId="50" applyFont="1" applyBorder="1" applyAlignment="1">
      <alignment/>
    </xf>
    <xf numFmtId="0" fontId="19" fillId="0" borderId="0" xfId="50" applyFont="1" applyBorder="1" applyAlignment="1">
      <alignment/>
    </xf>
    <xf numFmtId="3" fontId="19" fillId="0" borderId="0" xfId="50" applyNumberFormat="1" applyFont="1" applyAlignment="1" applyProtection="1">
      <alignment/>
      <protection/>
    </xf>
    <xf numFmtId="3" fontId="18" fillId="0" borderId="0" xfId="50" applyNumberFormat="1" applyFont="1" applyAlignment="1" applyProtection="1">
      <alignment/>
      <protection locked="0"/>
    </xf>
    <xf numFmtId="3" fontId="18" fillId="0" borderId="0" xfId="50" applyNumberFormat="1" applyFont="1" applyBorder="1" applyAlignment="1" applyProtection="1">
      <alignment/>
      <protection locked="0"/>
    </xf>
    <xf numFmtId="3" fontId="19" fillId="0" borderId="0" xfId="50" applyNumberFormat="1" applyFont="1" applyBorder="1" applyAlignment="1" applyProtection="1">
      <alignment/>
      <protection/>
    </xf>
    <xf numFmtId="3" fontId="24" fillId="0" borderId="0" xfId="52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2" fontId="18" fillId="0" borderId="14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51" applyFont="1" applyAlignment="1">
      <alignment/>
    </xf>
    <xf numFmtId="0" fontId="2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3" fillId="0" borderId="0" xfId="49" applyFont="1">
      <alignment/>
      <protection/>
    </xf>
    <xf numFmtId="198" fontId="23" fillId="0" borderId="0" xfId="0" applyNumberFormat="1" applyFont="1" applyAlignment="1" applyProtection="1">
      <alignment/>
      <protection locked="0"/>
    </xf>
    <xf numFmtId="0" fontId="20" fillId="0" borderId="13" xfId="0" applyFont="1" applyBorder="1" applyAlignment="1" applyProtection="1">
      <alignment vertical="center"/>
      <protection/>
    </xf>
    <xf numFmtId="3" fontId="26" fillId="0" borderId="0" xfId="0" applyNumberFormat="1" applyFont="1" applyBorder="1" applyAlignment="1">
      <alignment/>
    </xf>
    <xf numFmtId="3" fontId="18" fillId="0" borderId="0" xfId="0" applyNumberFormat="1" applyFont="1" applyFill="1" applyAlignment="1" applyProtection="1">
      <alignment/>
      <protection locked="0"/>
    </xf>
    <xf numFmtId="3" fontId="19" fillId="0" borderId="0" xfId="0" applyNumberFormat="1" applyFont="1" applyFill="1" applyAlignment="1" applyProtection="1">
      <alignment/>
      <protection locked="0"/>
    </xf>
    <xf numFmtId="198" fontId="18" fillId="0" borderId="0" xfId="0" applyNumberFormat="1" applyFont="1" applyFill="1" applyAlignment="1" applyProtection="1">
      <alignment/>
      <protection locked="0"/>
    </xf>
    <xf numFmtId="0" fontId="0" fillId="0" borderId="0" xfId="0" applyNumberFormat="1" applyAlignment="1">
      <alignment/>
    </xf>
    <xf numFmtId="192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2" fontId="18" fillId="0" borderId="0" xfId="0" applyNumberFormat="1" applyFont="1" applyBorder="1" applyAlignment="1" applyProtection="1">
      <alignment horizontal="center" vertical="center"/>
      <protection locked="0"/>
    </xf>
    <xf numFmtId="19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192" fontId="0" fillId="0" borderId="0" xfId="0" applyNumberFormat="1" applyBorder="1" applyAlignment="1" applyProtection="1">
      <alignment horizontal="center" vertical="center"/>
      <protection locked="0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rmale_400042" xfId="50"/>
    <cellStyle name="Normale_400044" xfId="51"/>
    <cellStyle name="Normale_Tavola" xfId="52"/>
    <cellStyle name="Nota" xfId="53"/>
    <cellStyle name="Note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Trattini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zoomScalePageLayoutView="0" workbookViewId="0" topLeftCell="A4">
      <selection activeCell="Y16" sqref="Y16"/>
    </sheetView>
  </sheetViews>
  <sheetFormatPr defaultColWidth="10.625" defaultRowHeight="12"/>
  <cols>
    <col min="1" max="1" width="15.25390625" style="21" customWidth="1"/>
    <col min="2" max="2" width="15.25390625" style="21" bestFit="1" customWidth="1"/>
    <col min="3" max="3" width="10.375" style="21" bestFit="1" customWidth="1"/>
    <col min="4" max="6" width="8.125" style="21" customWidth="1"/>
    <col min="7" max="7" width="7.875" style="21" bestFit="1" customWidth="1"/>
    <col min="8" max="8" width="9.125" style="21" customWidth="1"/>
    <col min="9" max="9" width="2.125" style="21" customWidth="1"/>
    <col min="10" max="12" width="8.125" style="21" customWidth="1"/>
    <col min="13" max="13" width="8.75390625" style="21" bestFit="1" customWidth="1"/>
    <col min="14" max="14" width="7.875" style="21" bestFit="1" customWidth="1"/>
    <col min="15" max="15" width="8.125" style="21" customWidth="1"/>
    <col min="16" max="16" width="2.25390625" style="21" customWidth="1"/>
    <col min="17" max="18" width="8.125" style="21" customWidth="1"/>
    <col min="19" max="19" width="7.125" style="21" customWidth="1"/>
    <col min="20" max="20" width="8.875" style="21" bestFit="1" customWidth="1"/>
    <col min="21" max="21" width="6.75390625" style="21" customWidth="1"/>
    <col min="22" max="22" width="9.25390625" style="21" bestFit="1" customWidth="1"/>
    <col min="23" max="23" width="0.6171875" style="2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147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49"/>
      <c r="U2" s="49"/>
      <c r="V2" s="49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53" t="s">
        <v>103</v>
      </c>
      <c r="C3" s="202" t="s">
        <v>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3"/>
      <c r="X3" s="23"/>
      <c r="Y3" s="23"/>
      <c r="Z3" s="23"/>
      <c r="AA3" s="23"/>
      <c r="AB3" s="23"/>
      <c r="AC3" s="23"/>
      <c r="AD3" s="23"/>
    </row>
    <row r="4" spans="1:30" ht="12">
      <c r="A4" s="187"/>
      <c r="B4" s="187"/>
      <c r="C4" s="203" t="s">
        <v>2</v>
      </c>
      <c r="D4" s="203"/>
      <c r="E4" s="203"/>
      <c r="F4" s="203"/>
      <c r="G4" s="203"/>
      <c r="H4" s="203"/>
      <c r="I4" s="115"/>
      <c r="J4" s="203" t="s">
        <v>3</v>
      </c>
      <c r="K4" s="203"/>
      <c r="L4" s="203"/>
      <c r="M4" s="203"/>
      <c r="N4" s="203"/>
      <c r="O4" s="203"/>
      <c r="P4" s="115"/>
      <c r="Q4" s="203" t="s">
        <v>20</v>
      </c>
      <c r="R4" s="203"/>
      <c r="S4" s="203"/>
      <c r="T4" s="203"/>
      <c r="U4" s="203"/>
      <c r="V4" s="203"/>
      <c r="W4" s="24"/>
      <c r="X4" s="24"/>
      <c r="Y4" s="24"/>
      <c r="Z4" s="24"/>
      <c r="AA4" s="23"/>
      <c r="AB4" s="23"/>
      <c r="AC4" s="23"/>
      <c r="AD4" s="24"/>
    </row>
    <row r="5" spans="1:29" ht="12">
      <c r="A5" s="187"/>
      <c r="B5" s="187"/>
      <c r="C5" s="57" t="s">
        <v>4</v>
      </c>
      <c r="D5" s="202" t="s">
        <v>5</v>
      </c>
      <c r="E5" s="202"/>
      <c r="F5" s="202"/>
      <c r="G5" s="202"/>
      <c r="H5" s="202"/>
      <c r="I5" s="112"/>
      <c r="J5" s="57" t="s">
        <v>4</v>
      </c>
      <c r="K5" s="204" t="s">
        <v>5</v>
      </c>
      <c r="L5" s="204"/>
      <c r="M5" s="204"/>
      <c r="N5" s="204"/>
      <c r="O5" s="204"/>
      <c r="P5" s="112"/>
      <c r="Q5" s="57" t="s">
        <v>4</v>
      </c>
      <c r="R5" s="204" t="s">
        <v>5</v>
      </c>
      <c r="S5" s="204"/>
      <c r="T5" s="204"/>
      <c r="U5" s="204"/>
      <c r="V5" s="204"/>
      <c r="AA5" s="24"/>
      <c r="AB5" s="24"/>
      <c r="AC5" s="24"/>
    </row>
    <row r="6" spans="1:22" ht="12">
      <c r="A6" s="187"/>
      <c r="B6" s="187"/>
      <c r="C6" s="58"/>
      <c r="D6" s="58" t="s">
        <v>6</v>
      </c>
      <c r="E6" s="59" t="s">
        <v>19</v>
      </c>
      <c r="F6" s="59" t="s">
        <v>19</v>
      </c>
      <c r="G6" s="59" t="s">
        <v>19</v>
      </c>
      <c r="H6" s="58" t="s">
        <v>22</v>
      </c>
      <c r="I6" s="58"/>
      <c r="J6" s="58"/>
      <c r="K6" s="58" t="s">
        <v>6</v>
      </c>
      <c r="L6" s="59" t="s">
        <v>19</v>
      </c>
      <c r="M6" s="59" t="s">
        <v>19</v>
      </c>
      <c r="N6" s="59" t="s">
        <v>19</v>
      </c>
      <c r="O6" s="58" t="s">
        <v>22</v>
      </c>
      <c r="P6" s="58"/>
      <c r="Q6" s="58"/>
      <c r="R6" s="58" t="s">
        <v>6</v>
      </c>
      <c r="S6" s="59" t="s">
        <v>19</v>
      </c>
      <c r="T6" s="59" t="s">
        <v>19</v>
      </c>
      <c r="U6" s="59" t="s">
        <v>19</v>
      </c>
      <c r="V6" s="58" t="s">
        <v>22</v>
      </c>
    </row>
    <row r="7" spans="1:22" ht="12">
      <c r="A7" s="187"/>
      <c r="B7" s="187"/>
      <c r="C7" s="58"/>
      <c r="D7" s="58"/>
      <c r="E7" s="59" t="s">
        <v>57</v>
      </c>
      <c r="F7" s="59" t="s">
        <v>27</v>
      </c>
      <c r="G7" s="59" t="s">
        <v>23</v>
      </c>
      <c r="H7" s="133" t="s">
        <v>24</v>
      </c>
      <c r="I7" s="58"/>
      <c r="J7" s="58"/>
      <c r="K7" s="58"/>
      <c r="L7" s="59" t="s">
        <v>57</v>
      </c>
      <c r="M7" s="59" t="s">
        <v>27</v>
      </c>
      <c r="N7" s="59" t="s">
        <v>23</v>
      </c>
      <c r="O7" s="133" t="s">
        <v>24</v>
      </c>
      <c r="P7" s="58"/>
      <c r="Q7" s="58"/>
      <c r="R7" s="58"/>
      <c r="S7" s="59" t="s">
        <v>57</v>
      </c>
      <c r="T7" s="59" t="s">
        <v>27</v>
      </c>
      <c r="U7" s="59" t="s">
        <v>23</v>
      </c>
      <c r="V7" s="133" t="s">
        <v>24</v>
      </c>
    </row>
    <row r="8" spans="1:22" ht="12">
      <c r="A8" s="188"/>
      <c r="B8" s="188"/>
      <c r="C8" s="64"/>
      <c r="D8" s="64"/>
      <c r="E8" s="65" t="s">
        <v>49</v>
      </c>
      <c r="F8" s="66" t="s">
        <v>28</v>
      </c>
      <c r="G8" s="65" t="s">
        <v>58</v>
      </c>
      <c r="H8" s="68"/>
      <c r="I8" s="68"/>
      <c r="J8" s="64"/>
      <c r="K8" s="64"/>
      <c r="L8" s="65" t="s">
        <v>49</v>
      </c>
      <c r="M8" s="66" t="s">
        <v>28</v>
      </c>
      <c r="N8" s="65" t="s">
        <v>58</v>
      </c>
      <c r="O8" s="68"/>
      <c r="P8" s="68"/>
      <c r="Q8" s="64"/>
      <c r="R8" s="64"/>
      <c r="S8" s="65" t="s">
        <v>49</v>
      </c>
      <c r="T8" s="66" t="s">
        <v>28</v>
      </c>
      <c r="U8" s="65" t="s">
        <v>58</v>
      </c>
      <c r="V8" s="68"/>
    </row>
    <row r="9" spans="1:22" ht="12">
      <c r="A9" s="189" t="s">
        <v>104</v>
      </c>
      <c r="B9" s="189"/>
      <c r="C9" s="167">
        <f>C10+C11+C12</f>
        <v>42</v>
      </c>
      <c r="D9" s="167">
        <f>D10+D11+D12</f>
        <v>971</v>
      </c>
      <c r="E9" s="168">
        <f>E10+E11+E12</f>
        <v>481</v>
      </c>
      <c r="F9" s="168">
        <f>F10+F11+F12</f>
        <v>35</v>
      </c>
      <c r="G9" s="168">
        <f>G10+G11+G12</f>
        <v>351</v>
      </c>
      <c r="H9" s="73">
        <f>D9/C9</f>
        <v>23.11904761904762</v>
      </c>
      <c r="J9" s="75">
        <f>J10+J11+J12</f>
        <v>6</v>
      </c>
      <c r="K9" s="75">
        <f>K10+K11+K12</f>
        <v>134</v>
      </c>
      <c r="L9" s="80">
        <f>L10+L11+L12</f>
        <v>65</v>
      </c>
      <c r="M9" s="80">
        <f>M10+M11+M12</f>
        <v>1</v>
      </c>
      <c r="N9" s="80">
        <f>N10+N11+N12</f>
        <v>79</v>
      </c>
      <c r="O9" s="74">
        <f>K9/J9</f>
        <v>22.333333333333332</v>
      </c>
      <c r="Q9" s="75">
        <f>J9+C9</f>
        <v>48</v>
      </c>
      <c r="R9" s="190">
        <f aca="true" t="shared" si="0" ref="Q9:U35">K9+D9</f>
        <v>1105</v>
      </c>
      <c r="S9" s="80">
        <f t="shared" si="0"/>
        <v>546</v>
      </c>
      <c r="T9" s="164">
        <f t="shared" si="0"/>
        <v>36</v>
      </c>
      <c r="U9" s="164">
        <f>N9+G9</f>
        <v>430</v>
      </c>
      <c r="V9" s="74">
        <f>R9/Q9</f>
        <v>23.020833333333332</v>
      </c>
    </row>
    <row r="10" spans="1:22" ht="12">
      <c r="A10" s="144"/>
      <c r="B10" s="144" t="s">
        <v>105</v>
      </c>
      <c r="C10" s="201">
        <v>12</v>
      </c>
      <c r="D10" s="201">
        <v>298</v>
      </c>
      <c r="E10" s="201">
        <v>139</v>
      </c>
      <c r="F10" s="201">
        <v>12</v>
      </c>
      <c r="G10" s="201">
        <v>73</v>
      </c>
      <c r="H10" s="200">
        <f>D10/C10</f>
        <v>24.833333333333332</v>
      </c>
      <c r="J10" s="201">
        <v>4</v>
      </c>
      <c r="K10" s="201">
        <v>91</v>
      </c>
      <c r="L10" s="201">
        <v>43</v>
      </c>
      <c r="M10" s="201">
        <v>1</v>
      </c>
      <c r="N10" s="201">
        <v>59</v>
      </c>
      <c r="O10" s="79">
        <f>K10/J10</f>
        <v>22.75</v>
      </c>
      <c r="Q10" s="123">
        <f t="shared" si="0"/>
        <v>16</v>
      </c>
      <c r="R10" s="123">
        <f t="shared" si="0"/>
        <v>389</v>
      </c>
      <c r="S10" s="153">
        <f t="shared" si="0"/>
        <v>182</v>
      </c>
      <c r="T10" s="153">
        <f t="shared" si="0"/>
        <v>13</v>
      </c>
      <c r="U10" s="153">
        <f t="shared" si="0"/>
        <v>132</v>
      </c>
      <c r="V10" s="79">
        <f>R10/Q10</f>
        <v>24.3125</v>
      </c>
    </row>
    <row r="11" spans="1:22" ht="12">
      <c r="A11" s="144"/>
      <c r="B11" s="144" t="s">
        <v>106</v>
      </c>
      <c r="C11" s="201">
        <v>20</v>
      </c>
      <c r="D11" s="201">
        <v>478</v>
      </c>
      <c r="E11" s="201">
        <v>248</v>
      </c>
      <c r="F11" s="201">
        <v>14</v>
      </c>
      <c r="G11" s="201">
        <v>212</v>
      </c>
      <c r="H11" s="200">
        <f aca="true" t="shared" si="1" ref="H11:H35">D11/C11</f>
        <v>23.9</v>
      </c>
      <c r="J11" s="201"/>
      <c r="K11" s="201"/>
      <c r="L11" s="201"/>
      <c r="M11" s="201"/>
      <c r="N11" s="201"/>
      <c r="O11" s="79"/>
      <c r="Q11" s="123">
        <f t="shared" si="0"/>
        <v>20</v>
      </c>
      <c r="R11" s="123">
        <f t="shared" si="0"/>
        <v>478</v>
      </c>
      <c r="S11" s="153">
        <f t="shared" si="0"/>
        <v>248</v>
      </c>
      <c r="T11" s="153">
        <f t="shared" si="0"/>
        <v>14</v>
      </c>
      <c r="U11" s="153">
        <f t="shared" si="0"/>
        <v>212</v>
      </c>
      <c r="V11" s="79">
        <f aca="true" t="shared" si="2" ref="V11:V34">R11/Q11</f>
        <v>23.9</v>
      </c>
    </row>
    <row r="12" spans="1:22" ht="12">
      <c r="A12" s="144"/>
      <c r="B12" s="144" t="s">
        <v>107</v>
      </c>
      <c r="C12" s="201">
        <v>10</v>
      </c>
      <c r="D12" s="201">
        <v>195</v>
      </c>
      <c r="E12" s="201">
        <v>94</v>
      </c>
      <c r="F12" s="201">
        <v>9</v>
      </c>
      <c r="G12" s="201">
        <v>66</v>
      </c>
      <c r="H12" s="200">
        <f t="shared" si="1"/>
        <v>19.5</v>
      </c>
      <c r="J12" s="201">
        <v>2</v>
      </c>
      <c r="K12" s="201">
        <v>43</v>
      </c>
      <c r="L12" s="201">
        <v>22</v>
      </c>
      <c r="M12" s="201">
        <v>0</v>
      </c>
      <c r="N12" s="201">
        <v>20</v>
      </c>
      <c r="O12" s="79">
        <f aca="true" t="shared" si="3" ref="O12:O35">K12/J12</f>
        <v>21.5</v>
      </c>
      <c r="Q12" s="123">
        <f t="shared" si="0"/>
        <v>12</v>
      </c>
      <c r="R12" s="123">
        <f t="shared" si="0"/>
        <v>238</v>
      </c>
      <c r="S12" s="153">
        <f t="shared" si="0"/>
        <v>116</v>
      </c>
      <c r="T12" s="153">
        <f t="shared" si="0"/>
        <v>9</v>
      </c>
      <c r="U12" s="153">
        <f t="shared" si="0"/>
        <v>86</v>
      </c>
      <c r="V12" s="79">
        <f t="shared" si="2"/>
        <v>19.833333333333332</v>
      </c>
    </row>
    <row r="13" spans="1:22" ht="12">
      <c r="A13" s="191" t="s">
        <v>10</v>
      </c>
      <c r="B13" s="191"/>
      <c r="C13" s="167">
        <f>C14+C15+C16</f>
        <v>34</v>
      </c>
      <c r="D13" s="167">
        <f>D14+D15+D16</f>
        <v>813</v>
      </c>
      <c r="E13" s="168">
        <f>E14+E15+E16</f>
        <v>394</v>
      </c>
      <c r="F13" s="168">
        <f>F14+F15+F16</f>
        <v>35</v>
      </c>
      <c r="G13" s="168">
        <f>G14+G15+G16</f>
        <v>296</v>
      </c>
      <c r="H13" s="73">
        <f t="shared" si="1"/>
        <v>23.91176470588235</v>
      </c>
      <c r="J13" s="75">
        <f>J14+J15+J16</f>
        <v>18</v>
      </c>
      <c r="K13" s="75">
        <f>K14+K15+K16</f>
        <v>401</v>
      </c>
      <c r="L13" s="80">
        <f>L14+L15+L16</f>
        <v>193</v>
      </c>
      <c r="M13" s="80">
        <f>M14+M15+M16</f>
        <v>9</v>
      </c>
      <c r="N13" s="80">
        <f>N14+N15+N16</f>
        <v>259</v>
      </c>
      <c r="O13" s="74">
        <f t="shared" si="3"/>
        <v>22.27777777777778</v>
      </c>
      <c r="Q13" s="75">
        <f t="shared" si="0"/>
        <v>52</v>
      </c>
      <c r="R13" s="75">
        <f t="shared" si="0"/>
        <v>1214</v>
      </c>
      <c r="S13" s="80">
        <f t="shared" si="0"/>
        <v>587</v>
      </c>
      <c r="T13" s="80">
        <f t="shared" si="0"/>
        <v>44</v>
      </c>
      <c r="U13" s="80">
        <f t="shared" si="0"/>
        <v>555</v>
      </c>
      <c r="V13" s="74">
        <f t="shared" si="2"/>
        <v>23.346153846153847</v>
      </c>
    </row>
    <row r="14" spans="1:22" ht="12">
      <c r="A14" s="192"/>
      <c r="B14" s="144" t="s">
        <v>108</v>
      </c>
      <c r="C14" s="201">
        <v>17</v>
      </c>
      <c r="D14" s="201">
        <v>408</v>
      </c>
      <c r="E14" s="201">
        <v>198</v>
      </c>
      <c r="F14" s="201">
        <v>20</v>
      </c>
      <c r="G14" s="201">
        <v>117</v>
      </c>
      <c r="H14" s="200">
        <f t="shared" si="1"/>
        <v>24</v>
      </c>
      <c r="J14" s="201">
        <v>10</v>
      </c>
      <c r="K14" s="201">
        <v>221</v>
      </c>
      <c r="L14" s="201">
        <v>106</v>
      </c>
      <c r="M14" s="201">
        <v>5</v>
      </c>
      <c r="N14" s="201">
        <v>144</v>
      </c>
      <c r="O14" s="79">
        <f t="shared" si="3"/>
        <v>22.1</v>
      </c>
      <c r="Q14" s="123">
        <f t="shared" si="0"/>
        <v>27</v>
      </c>
      <c r="R14" s="123">
        <f t="shared" si="0"/>
        <v>629</v>
      </c>
      <c r="S14" s="153">
        <f t="shared" si="0"/>
        <v>304</v>
      </c>
      <c r="T14" s="153">
        <f t="shared" si="0"/>
        <v>25</v>
      </c>
      <c r="U14" s="153">
        <f t="shared" si="0"/>
        <v>261</v>
      </c>
      <c r="V14" s="79">
        <f t="shared" si="2"/>
        <v>23.296296296296298</v>
      </c>
    </row>
    <row r="15" spans="1:22" ht="12">
      <c r="A15" s="193"/>
      <c r="B15" s="144" t="s">
        <v>109</v>
      </c>
      <c r="C15" s="201">
        <v>10</v>
      </c>
      <c r="D15" s="201">
        <v>248</v>
      </c>
      <c r="E15" s="201">
        <v>117</v>
      </c>
      <c r="F15" s="201">
        <v>10</v>
      </c>
      <c r="G15" s="201">
        <v>114</v>
      </c>
      <c r="H15" s="200">
        <f t="shared" si="1"/>
        <v>24.8</v>
      </c>
      <c r="J15" s="201">
        <v>4</v>
      </c>
      <c r="K15" s="201">
        <v>94</v>
      </c>
      <c r="L15" s="201">
        <v>48</v>
      </c>
      <c r="M15" s="201">
        <v>3</v>
      </c>
      <c r="N15" s="201">
        <v>49</v>
      </c>
      <c r="O15" s="79">
        <f t="shared" si="3"/>
        <v>23.5</v>
      </c>
      <c r="Q15" s="123">
        <f t="shared" si="0"/>
        <v>14</v>
      </c>
      <c r="R15" s="123">
        <f t="shared" si="0"/>
        <v>342</v>
      </c>
      <c r="S15" s="153">
        <f t="shared" si="0"/>
        <v>165</v>
      </c>
      <c r="T15" s="153">
        <f t="shared" si="0"/>
        <v>13</v>
      </c>
      <c r="U15" s="153">
        <f t="shared" si="0"/>
        <v>163</v>
      </c>
      <c r="V15" s="79">
        <f t="shared" si="2"/>
        <v>24.428571428571427</v>
      </c>
    </row>
    <row r="16" spans="1:22" ht="12">
      <c r="A16" s="193"/>
      <c r="B16" s="144" t="s">
        <v>110</v>
      </c>
      <c r="C16" s="201">
        <v>7</v>
      </c>
      <c r="D16" s="201">
        <v>157</v>
      </c>
      <c r="E16" s="201">
        <v>79</v>
      </c>
      <c r="F16" s="201">
        <v>5</v>
      </c>
      <c r="G16" s="201">
        <v>65</v>
      </c>
      <c r="H16" s="200">
        <f t="shared" si="1"/>
        <v>22.428571428571427</v>
      </c>
      <c r="J16" s="201">
        <v>4</v>
      </c>
      <c r="K16" s="201">
        <v>86</v>
      </c>
      <c r="L16" s="201">
        <v>39</v>
      </c>
      <c r="M16" s="201">
        <v>1</v>
      </c>
      <c r="N16" s="201">
        <v>66</v>
      </c>
      <c r="O16" s="79">
        <f t="shared" si="3"/>
        <v>21.5</v>
      </c>
      <c r="Q16" s="123">
        <f t="shared" si="0"/>
        <v>11</v>
      </c>
      <c r="R16" s="123">
        <f t="shared" si="0"/>
        <v>243</v>
      </c>
      <c r="S16" s="153">
        <f t="shared" si="0"/>
        <v>118</v>
      </c>
      <c r="T16" s="153">
        <f t="shared" si="0"/>
        <v>6</v>
      </c>
      <c r="U16" s="153">
        <f t="shared" si="0"/>
        <v>131</v>
      </c>
      <c r="V16" s="79">
        <f t="shared" si="2"/>
        <v>22.09090909090909</v>
      </c>
    </row>
    <row r="17" spans="1:22" ht="12">
      <c r="A17" s="191" t="s">
        <v>111</v>
      </c>
      <c r="B17" s="191"/>
      <c r="C17" s="167">
        <f>C18+C19+C20+C21</f>
        <v>41</v>
      </c>
      <c r="D17" s="167">
        <f>D18+D19+D20+D21</f>
        <v>973</v>
      </c>
      <c r="E17" s="168">
        <f>E18+E19+E20+E21</f>
        <v>468</v>
      </c>
      <c r="F17" s="168">
        <f>F18+F19+F20+F21</f>
        <v>22</v>
      </c>
      <c r="G17" s="168">
        <f>G18+G19+G20+G21</f>
        <v>184</v>
      </c>
      <c r="H17" s="73">
        <f t="shared" si="1"/>
        <v>23.73170731707317</v>
      </c>
      <c r="J17" s="75">
        <f>J18+J19+J20+J21</f>
        <v>8</v>
      </c>
      <c r="K17" s="75">
        <f>K18+K19+K20+K21</f>
        <v>172</v>
      </c>
      <c r="L17" s="80">
        <f>L18+L19+L20+L21</f>
        <v>80</v>
      </c>
      <c r="M17" s="80">
        <f>M18+M19+M20+M21</f>
        <v>4</v>
      </c>
      <c r="N17" s="80">
        <f>N18+N19+N20+N21</f>
        <v>68</v>
      </c>
      <c r="O17" s="74">
        <f t="shared" si="3"/>
        <v>21.5</v>
      </c>
      <c r="Q17" s="75">
        <f t="shared" si="0"/>
        <v>49</v>
      </c>
      <c r="R17" s="75">
        <f t="shared" si="0"/>
        <v>1145</v>
      </c>
      <c r="S17" s="80">
        <f t="shared" si="0"/>
        <v>548</v>
      </c>
      <c r="T17" s="80">
        <f t="shared" si="0"/>
        <v>26</v>
      </c>
      <c r="U17" s="80">
        <f t="shared" si="0"/>
        <v>252</v>
      </c>
      <c r="V17" s="74">
        <f t="shared" si="2"/>
        <v>23.367346938775512</v>
      </c>
    </row>
    <row r="18" spans="1:22" ht="12">
      <c r="A18" s="193"/>
      <c r="B18" s="144" t="s">
        <v>112</v>
      </c>
      <c r="C18" s="201">
        <v>18</v>
      </c>
      <c r="D18" s="201">
        <v>415</v>
      </c>
      <c r="E18" s="201">
        <v>202</v>
      </c>
      <c r="F18" s="201">
        <v>5</v>
      </c>
      <c r="G18" s="201">
        <v>83</v>
      </c>
      <c r="H18" s="200">
        <f t="shared" si="1"/>
        <v>23.055555555555557</v>
      </c>
      <c r="J18" s="201"/>
      <c r="K18" s="201"/>
      <c r="L18" s="201"/>
      <c r="M18" s="201"/>
      <c r="N18" s="201"/>
      <c r="O18" s="79"/>
      <c r="Q18" s="123">
        <f t="shared" si="0"/>
        <v>18</v>
      </c>
      <c r="R18" s="123">
        <f t="shared" si="0"/>
        <v>415</v>
      </c>
      <c r="S18" s="153">
        <f t="shared" si="0"/>
        <v>202</v>
      </c>
      <c r="T18" s="153">
        <f t="shared" si="0"/>
        <v>5</v>
      </c>
      <c r="U18" s="153">
        <f t="shared" si="0"/>
        <v>83</v>
      </c>
      <c r="V18" s="79">
        <f t="shared" si="2"/>
        <v>23.055555555555557</v>
      </c>
    </row>
    <row r="19" spans="1:22" ht="12">
      <c r="A19" s="193"/>
      <c r="B19" s="144" t="s">
        <v>113</v>
      </c>
      <c r="C19" s="201">
        <v>7</v>
      </c>
      <c r="D19" s="201">
        <v>173</v>
      </c>
      <c r="E19" s="201">
        <v>84</v>
      </c>
      <c r="F19" s="201">
        <v>3</v>
      </c>
      <c r="G19" s="201">
        <v>26</v>
      </c>
      <c r="H19" s="200">
        <f t="shared" si="1"/>
        <v>24.714285714285715</v>
      </c>
      <c r="J19" s="201">
        <v>2</v>
      </c>
      <c r="K19" s="201">
        <v>42</v>
      </c>
      <c r="L19" s="201">
        <v>22</v>
      </c>
      <c r="M19" s="201">
        <v>2</v>
      </c>
      <c r="N19" s="201">
        <v>20</v>
      </c>
      <c r="O19" s="79">
        <f t="shared" si="3"/>
        <v>21</v>
      </c>
      <c r="Q19" s="123">
        <f t="shared" si="0"/>
        <v>9</v>
      </c>
      <c r="R19" s="123">
        <f t="shared" si="0"/>
        <v>215</v>
      </c>
      <c r="S19" s="153">
        <f t="shared" si="0"/>
        <v>106</v>
      </c>
      <c r="T19" s="153">
        <f t="shared" si="0"/>
        <v>5</v>
      </c>
      <c r="U19" s="153">
        <f t="shared" si="0"/>
        <v>46</v>
      </c>
      <c r="V19" s="79">
        <f t="shared" si="2"/>
        <v>23.88888888888889</v>
      </c>
    </row>
    <row r="20" spans="1:22" ht="12">
      <c r="A20" s="192"/>
      <c r="B20" s="144" t="s">
        <v>114</v>
      </c>
      <c r="C20" s="201">
        <v>2</v>
      </c>
      <c r="D20" s="201">
        <v>50</v>
      </c>
      <c r="E20" s="201">
        <v>20</v>
      </c>
      <c r="F20" s="201">
        <v>3</v>
      </c>
      <c r="G20" s="201">
        <v>6</v>
      </c>
      <c r="H20" s="200">
        <f t="shared" si="1"/>
        <v>25</v>
      </c>
      <c r="J20" s="201">
        <v>6</v>
      </c>
      <c r="K20" s="201">
        <v>130</v>
      </c>
      <c r="L20" s="201">
        <v>58</v>
      </c>
      <c r="M20" s="201">
        <v>2</v>
      </c>
      <c r="N20" s="201">
        <v>48</v>
      </c>
      <c r="O20" s="79">
        <f t="shared" si="3"/>
        <v>21.666666666666668</v>
      </c>
      <c r="Q20" s="123">
        <f t="shared" si="0"/>
        <v>8</v>
      </c>
      <c r="R20" s="123">
        <f t="shared" si="0"/>
        <v>180</v>
      </c>
      <c r="S20" s="153">
        <f t="shared" si="0"/>
        <v>78</v>
      </c>
      <c r="T20" s="153">
        <f t="shared" si="0"/>
        <v>5</v>
      </c>
      <c r="U20" s="153">
        <f t="shared" si="0"/>
        <v>54</v>
      </c>
      <c r="V20" s="79">
        <f t="shared" si="2"/>
        <v>22.5</v>
      </c>
    </row>
    <row r="21" spans="1:22" ht="12">
      <c r="A21" s="192"/>
      <c r="B21" s="144" t="s">
        <v>115</v>
      </c>
      <c r="C21" s="201">
        <v>14</v>
      </c>
      <c r="D21" s="201">
        <v>335</v>
      </c>
      <c r="E21" s="201">
        <v>162</v>
      </c>
      <c r="F21" s="201">
        <v>11</v>
      </c>
      <c r="G21" s="201">
        <v>69</v>
      </c>
      <c r="H21" s="200">
        <f t="shared" si="1"/>
        <v>23.928571428571427</v>
      </c>
      <c r="J21" s="201"/>
      <c r="K21" s="201"/>
      <c r="L21" s="201"/>
      <c r="M21" s="201"/>
      <c r="N21" s="201"/>
      <c r="O21" s="79"/>
      <c r="Q21" s="123">
        <f t="shared" si="0"/>
        <v>14</v>
      </c>
      <c r="R21" s="123">
        <f t="shared" si="0"/>
        <v>335</v>
      </c>
      <c r="S21" s="153">
        <f t="shared" si="0"/>
        <v>162</v>
      </c>
      <c r="T21" s="153">
        <f t="shared" si="0"/>
        <v>11</v>
      </c>
      <c r="U21" s="153">
        <f t="shared" si="0"/>
        <v>69</v>
      </c>
      <c r="V21" s="79">
        <f t="shared" si="2"/>
        <v>23.928571428571427</v>
      </c>
    </row>
    <row r="22" spans="1:22" ht="12">
      <c r="A22" s="189" t="s">
        <v>116</v>
      </c>
      <c r="B22" s="189"/>
      <c r="C22" s="167">
        <f>C23+C24</f>
        <v>28</v>
      </c>
      <c r="D22" s="167">
        <f>D23+D24</f>
        <v>672</v>
      </c>
      <c r="E22" s="168">
        <f>E23+E24</f>
        <v>334</v>
      </c>
      <c r="F22" s="168">
        <f>F23+F24</f>
        <v>18</v>
      </c>
      <c r="G22" s="168">
        <f>G23+G24</f>
        <v>174</v>
      </c>
      <c r="H22" s="73">
        <f t="shared" si="1"/>
        <v>24</v>
      </c>
      <c r="J22" s="75">
        <f>J23+J24</f>
        <v>25</v>
      </c>
      <c r="K22" s="75">
        <f>K23+K24</f>
        <v>493</v>
      </c>
      <c r="L22" s="80">
        <f>L23+L24</f>
        <v>234</v>
      </c>
      <c r="M22" s="80">
        <f>M23+M24</f>
        <v>13</v>
      </c>
      <c r="N22" s="80">
        <f>N23+N24</f>
        <v>279</v>
      </c>
      <c r="O22" s="74">
        <f t="shared" si="3"/>
        <v>19.72</v>
      </c>
      <c r="Q22" s="75">
        <f t="shared" si="0"/>
        <v>53</v>
      </c>
      <c r="R22" s="75">
        <f t="shared" si="0"/>
        <v>1165</v>
      </c>
      <c r="S22" s="80">
        <f t="shared" si="0"/>
        <v>568</v>
      </c>
      <c r="T22" s="80">
        <f t="shared" si="0"/>
        <v>31</v>
      </c>
      <c r="U22" s="80">
        <f t="shared" si="0"/>
        <v>453</v>
      </c>
      <c r="V22" s="74">
        <f t="shared" si="2"/>
        <v>21.9811320754717</v>
      </c>
    </row>
    <row r="23" spans="1:22" ht="12">
      <c r="A23" s="193"/>
      <c r="B23" s="144" t="s">
        <v>117</v>
      </c>
      <c r="C23" s="201">
        <v>17</v>
      </c>
      <c r="D23" s="201">
        <v>406</v>
      </c>
      <c r="E23" s="201">
        <v>216</v>
      </c>
      <c r="F23" s="201">
        <v>10</v>
      </c>
      <c r="G23" s="201">
        <v>126</v>
      </c>
      <c r="H23" s="200">
        <f t="shared" si="1"/>
        <v>23.88235294117647</v>
      </c>
      <c r="J23" s="201">
        <v>12</v>
      </c>
      <c r="K23" s="201">
        <v>243</v>
      </c>
      <c r="L23" s="201">
        <v>116</v>
      </c>
      <c r="M23" s="201">
        <v>6</v>
      </c>
      <c r="N23" s="201">
        <v>139</v>
      </c>
      <c r="O23" s="79">
        <f t="shared" si="3"/>
        <v>20.25</v>
      </c>
      <c r="Q23" s="123">
        <f t="shared" si="0"/>
        <v>29</v>
      </c>
      <c r="R23" s="123">
        <f t="shared" si="0"/>
        <v>649</v>
      </c>
      <c r="S23" s="153">
        <f t="shared" si="0"/>
        <v>332</v>
      </c>
      <c r="T23" s="153">
        <f t="shared" si="0"/>
        <v>16</v>
      </c>
      <c r="U23" s="153">
        <f t="shared" si="0"/>
        <v>265</v>
      </c>
      <c r="V23" s="79">
        <f t="shared" si="2"/>
        <v>22.379310344827587</v>
      </c>
    </row>
    <row r="24" spans="1:22" ht="12">
      <c r="A24" s="193"/>
      <c r="B24" s="144" t="s">
        <v>118</v>
      </c>
      <c r="C24" s="201">
        <v>11</v>
      </c>
      <c r="D24" s="201">
        <v>266</v>
      </c>
      <c r="E24" s="201">
        <v>118</v>
      </c>
      <c r="F24" s="201">
        <v>8</v>
      </c>
      <c r="G24" s="201">
        <v>48</v>
      </c>
      <c r="H24" s="200">
        <f t="shared" si="1"/>
        <v>24.181818181818183</v>
      </c>
      <c r="J24" s="201">
        <v>13</v>
      </c>
      <c r="K24" s="201">
        <v>250</v>
      </c>
      <c r="L24" s="201">
        <v>118</v>
      </c>
      <c r="M24" s="201">
        <v>7</v>
      </c>
      <c r="N24" s="201">
        <v>140</v>
      </c>
      <c r="O24" s="79">
        <f t="shared" si="3"/>
        <v>19.23076923076923</v>
      </c>
      <c r="Q24" s="123">
        <f t="shared" si="0"/>
        <v>24</v>
      </c>
      <c r="R24" s="123">
        <f t="shared" si="0"/>
        <v>516</v>
      </c>
      <c r="S24" s="153">
        <f t="shared" si="0"/>
        <v>236</v>
      </c>
      <c r="T24" s="153">
        <f t="shared" si="0"/>
        <v>15</v>
      </c>
      <c r="U24" s="153">
        <f t="shared" si="0"/>
        <v>188</v>
      </c>
      <c r="V24" s="79">
        <f t="shared" si="2"/>
        <v>21.5</v>
      </c>
    </row>
    <row r="25" spans="1:22" ht="12">
      <c r="A25" s="191" t="s">
        <v>37</v>
      </c>
      <c r="B25" s="191"/>
      <c r="C25" s="167">
        <f>C26+C27+C28+C29</f>
        <v>39</v>
      </c>
      <c r="D25" s="167">
        <f>D26+D27+D28+D29</f>
        <v>922</v>
      </c>
      <c r="E25" s="168">
        <f>E26+E27+E28+E29</f>
        <v>461</v>
      </c>
      <c r="F25" s="168">
        <f>F26+F27+F28+F29</f>
        <v>19</v>
      </c>
      <c r="G25" s="168">
        <f>G26+G27+G28+G29</f>
        <v>147</v>
      </c>
      <c r="H25" s="73">
        <f t="shared" si="1"/>
        <v>23.641025641025642</v>
      </c>
      <c r="J25" s="75">
        <f>J26+J27+J28+J29</f>
        <v>5</v>
      </c>
      <c r="K25" s="75">
        <f>K26+K27+K28+K29</f>
        <v>115</v>
      </c>
      <c r="L25" s="80">
        <f>L26+L27+L28+L29</f>
        <v>57</v>
      </c>
      <c r="M25" s="80">
        <f>M26+M27+M28+M29</f>
        <v>1</v>
      </c>
      <c r="N25" s="80">
        <f>N26+N27+N28+N29</f>
        <v>26</v>
      </c>
      <c r="O25" s="74">
        <f t="shared" si="3"/>
        <v>23</v>
      </c>
      <c r="Q25" s="75">
        <f t="shared" si="0"/>
        <v>44</v>
      </c>
      <c r="R25" s="75">
        <f t="shared" si="0"/>
        <v>1037</v>
      </c>
      <c r="S25" s="80">
        <f t="shared" si="0"/>
        <v>518</v>
      </c>
      <c r="T25" s="80">
        <f t="shared" si="0"/>
        <v>20</v>
      </c>
      <c r="U25" s="80">
        <f t="shared" si="0"/>
        <v>173</v>
      </c>
      <c r="V25" s="74">
        <f t="shared" si="2"/>
        <v>23.568181818181817</v>
      </c>
    </row>
    <row r="26" spans="1:22" ht="12">
      <c r="A26" s="193"/>
      <c r="B26" s="144" t="s">
        <v>119</v>
      </c>
      <c r="C26" s="201">
        <v>6</v>
      </c>
      <c r="D26" s="201">
        <v>130</v>
      </c>
      <c r="E26" s="201">
        <v>61</v>
      </c>
      <c r="F26" s="201">
        <v>3</v>
      </c>
      <c r="G26" s="201">
        <v>12</v>
      </c>
      <c r="H26" s="200">
        <f t="shared" si="1"/>
        <v>21.666666666666668</v>
      </c>
      <c r="J26" s="201"/>
      <c r="K26" s="201"/>
      <c r="L26" s="201"/>
      <c r="M26" s="201"/>
      <c r="N26" s="201"/>
      <c r="O26" s="79"/>
      <c r="Q26" s="123">
        <f t="shared" si="0"/>
        <v>6</v>
      </c>
      <c r="R26" s="123">
        <f t="shared" si="0"/>
        <v>130</v>
      </c>
      <c r="S26" s="153">
        <f t="shared" si="0"/>
        <v>61</v>
      </c>
      <c r="T26" s="153">
        <f t="shared" si="0"/>
        <v>3</v>
      </c>
      <c r="U26" s="153">
        <f t="shared" si="0"/>
        <v>12</v>
      </c>
      <c r="V26" s="79">
        <f t="shared" si="2"/>
        <v>21.666666666666668</v>
      </c>
    </row>
    <row r="27" spans="1:22" ht="12">
      <c r="A27" s="193"/>
      <c r="B27" s="144" t="s">
        <v>120</v>
      </c>
      <c r="C27" s="201">
        <v>9</v>
      </c>
      <c r="D27" s="201">
        <v>205</v>
      </c>
      <c r="E27" s="201">
        <v>104</v>
      </c>
      <c r="F27" s="201">
        <v>4</v>
      </c>
      <c r="G27" s="201">
        <v>35</v>
      </c>
      <c r="H27" s="200">
        <f t="shared" si="1"/>
        <v>22.77777777777778</v>
      </c>
      <c r="J27" s="201"/>
      <c r="K27" s="201"/>
      <c r="L27" s="201"/>
      <c r="M27" s="201"/>
      <c r="N27" s="201"/>
      <c r="O27" s="79"/>
      <c r="Q27" s="123">
        <f t="shared" si="0"/>
        <v>9</v>
      </c>
      <c r="R27" s="123">
        <f t="shared" si="0"/>
        <v>205</v>
      </c>
      <c r="S27" s="153">
        <f t="shared" si="0"/>
        <v>104</v>
      </c>
      <c r="T27" s="153">
        <f t="shared" si="0"/>
        <v>4</v>
      </c>
      <c r="U27" s="153">
        <f t="shared" si="0"/>
        <v>35</v>
      </c>
      <c r="V27" s="79">
        <f t="shared" si="2"/>
        <v>22.77777777777778</v>
      </c>
    </row>
    <row r="28" spans="1:22" ht="12">
      <c r="A28" s="192"/>
      <c r="B28" s="144" t="s">
        <v>121</v>
      </c>
      <c r="C28" s="201">
        <v>9</v>
      </c>
      <c r="D28" s="201">
        <v>223</v>
      </c>
      <c r="E28" s="201">
        <v>116</v>
      </c>
      <c r="F28" s="201">
        <v>4</v>
      </c>
      <c r="G28" s="201">
        <v>48</v>
      </c>
      <c r="H28" s="200">
        <f t="shared" si="1"/>
        <v>24.77777777777778</v>
      </c>
      <c r="J28" s="201"/>
      <c r="K28" s="201"/>
      <c r="L28" s="201"/>
      <c r="M28" s="201"/>
      <c r="N28" s="201"/>
      <c r="O28" s="79"/>
      <c r="Q28" s="123">
        <f t="shared" si="0"/>
        <v>9</v>
      </c>
      <c r="R28" s="123">
        <f t="shared" si="0"/>
        <v>223</v>
      </c>
      <c r="S28" s="153">
        <f t="shared" si="0"/>
        <v>116</v>
      </c>
      <c r="T28" s="153">
        <f t="shared" si="0"/>
        <v>4</v>
      </c>
      <c r="U28" s="153">
        <f t="shared" si="0"/>
        <v>48</v>
      </c>
      <c r="V28" s="79">
        <f t="shared" si="2"/>
        <v>24.77777777777778</v>
      </c>
    </row>
    <row r="29" spans="1:22" ht="12">
      <c r="A29" s="193"/>
      <c r="B29" s="144" t="s">
        <v>122</v>
      </c>
      <c r="C29" s="201">
        <v>15</v>
      </c>
      <c r="D29" s="201">
        <v>364</v>
      </c>
      <c r="E29" s="201">
        <v>180</v>
      </c>
      <c r="F29" s="201">
        <v>8</v>
      </c>
      <c r="G29" s="201">
        <v>52</v>
      </c>
      <c r="H29" s="200">
        <f t="shared" si="1"/>
        <v>24.266666666666666</v>
      </c>
      <c r="J29" s="201">
        <v>5</v>
      </c>
      <c r="K29" s="201">
        <v>115</v>
      </c>
      <c r="L29" s="201">
        <v>57</v>
      </c>
      <c r="M29" s="201">
        <v>1</v>
      </c>
      <c r="N29" s="201">
        <v>26</v>
      </c>
      <c r="O29" s="79">
        <f t="shared" si="3"/>
        <v>23</v>
      </c>
      <c r="Q29" s="123">
        <f t="shared" si="0"/>
        <v>20</v>
      </c>
      <c r="R29" s="123">
        <f t="shared" si="0"/>
        <v>479</v>
      </c>
      <c r="S29" s="153">
        <f t="shared" si="0"/>
        <v>237</v>
      </c>
      <c r="T29" s="153">
        <f t="shared" si="0"/>
        <v>9</v>
      </c>
      <c r="U29" s="153">
        <f t="shared" si="0"/>
        <v>78</v>
      </c>
      <c r="V29" s="79">
        <f t="shared" si="2"/>
        <v>23.95</v>
      </c>
    </row>
    <row r="30" spans="1:22" ht="12">
      <c r="A30" s="191" t="s">
        <v>17</v>
      </c>
      <c r="B30" s="191"/>
      <c r="C30" s="75">
        <f>C31+C32</f>
        <v>27</v>
      </c>
      <c r="D30" s="75">
        <f>D31+D32</f>
        <v>674</v>
      </c>
      <c r="E30" s="80">
        <f>E31+E32</f>
        <v>355</v>
      </c>
      <c r="F30" s="80">
        <f>F31+F32</f>
        <v>26</v>
      </c>
      <c r="G30" s="80">
        <f>G31+G32</f>
        <v>125</v>
      </c>
      <c r="H30" s="74">
        <f t="shared" si="1"/>
        <v>24.962962962962962</v>
      </c>
      <c r="J30" s="75">
        <f>J31+J32</f>
        <v>17</v>
      </c>
      <c r="K30" s="75">
        <f>K31+K32</f>
        <v>396</v>
      </c>
      <c r="L30" s="80">
        <f>L31+L32</f>
        <v>192</v>
      </c>
      <c r="M30" s="80">
        <f>M31+M32</f>
        <v>16</v>
      </c>
      <c r="N30" s="80">
        <f>N31+N32</f>
        <v>189</v>
      </c>
      <c r="O30" s="74">
        <f t="shared" si="3"/>
        <v>23.294117647058822</v>
      </c>
      <c r="Q30" s="75">
        <f t="shared" si="0"/>
        <v>44</v>
      </c>
      <c r="R30" s="75">
        <f t="shared" si="0"/>
        <v>1070</v>
      </c>
      <c r="S30" s="80">
        <f t="shared" si="0"/>
        <v>547</v>
      </c>
      <c r="T30" s="80">
        <f t="shared" si="0"/>
        <v>42</v>
      </c>
      <c r="U30" s="80">
        <f t="shared" si="0"/>
        <v>314</v>
      </c>
      <c r="V30" s="74">
        <f t="shared" si="2"/>
        <v>24.318181818181817</v>
      </c>
    </row>
    <row r="31" spans="1:22" ht="12">
      <c r="A31" s="192"/>
      <c r="B31" s="144" t="s">
        <v>123</v>
      </c>
      <c r="C31" s="201">
        <v>19</v>
      </c>
      <c r="D31" s="201">
        <v>481</v>
      </c>
      <c r="E31" s="201">
        <v>259</v>
      </c>
      <c r="F31" s="201">
        <v>17</v>
      </c>
      <c r="G31" s="201">
        <v>96</v>
      </c>
      <c r="H31" s="79">
        <f t="shared" si="1"/>
        <v>25.31578947368421</v>
      </c>
      <c r="J31" s="201">
        <v>11</v>
      </c>
      <c r="K31" s="201">
        <v>260</v>
      </c>
      <c r="L31" s="201">
        <v>124</v>
      </c>
      <c r="M31" s="201">
        <v>11</v>
      </c>
      <c r="N31" s="201">
        <v>124</v>
      </c>
      <c r="O31" s="79">
        <f t="shared" si="3"/>
        <v>23.636363636363637</v>
      </c>
      <c r="Q31" s="123">
        <f t="shared" si="0"/>
        <v>30</v>
      </c>
      <c r="R31" s="123">
        <f t="shared" si="0"/>
        <v>741</v>
      </c>
      <c r="S31" s="153">
        <f t="shared" si="0"/>
        <v>383</v>
      </c>
      <c r="T31" s="153">
        <f t="shared" si="0"/>
        <v>28</v>
      </c>
      <c r="U31" s="153">
        <f t="shared" si="0"/>
        <v>220</v>
      </c>
      <c r="V31" s="79">
        <f t="shared" si="2"/>
        <v>24.7</v>
      </c>
    </row>
    <row r="32" spans="1:22" ht="12">
      <c r="A32" s="193"/>
      <c r="B32" s="144" t="s">
        <v>124</v>
      </c>
      <c r="C32" s="201">
        <v>8</v>
      </c>
      <c r="D32" s="201">
        <v>193</v>
      </c>
      <c r="E32" s="201">
        <v>96</v>
      </c>
      <c r="F32" s="201">
        <v>9</v>
      </c>
      <c r="G32" s="201">
        <v>29</v>
      </c>
      <c r="H32" s="79">
        <f t="shared" si="1"/>
        <v>24.125</v>
      </c>
      <c r="J32" s="201">
        <v>6</v>
      </c>
      <c r="K32" s="201">
        <v>136</v>
      </c>
      <c r="L32" s="201">
        <v>68</v>
      </c>
      <c r="M32" s="201">
        <v>5</v>
      </c>
      <c r="N32" s="201">
        <v>65</v>
      </c>
      <c r="O32" s="79">
        <f t="shared" si="3"/>
        <v>22.666666666666668</v>
      </c>
      <c r="Q32" s="123">
        <f t="shared" si="0"/>
        <v>14</v>
      </c>
      <c r="R32" s="123">
        <f t="shared" si="0"/>
        <v>329</v>
      </c>
      <c r="S32" s="153">
        <f t="shared" si="0"/>
        <v>164</v>
      </c>
      <c r="T32" s="153">
        <f t="shared" si="0"/>
        <v>14</v>
      </c>
      <c r="U32" s="153">
        <f t="shared" si="0"/>
        <v>94</v>
      </c>
      <c r="V32" s="79">
        <f t="shared" si="2"/>
        <v>23.5</v>
      </c>
    </row>
    <row r="33" spans="1:22" ht="12">
      <c r="A33" s="194" t="s">
        <v>125</v>
      </c>
      <c r="B33" s="194"/>
      <c r="C33" s="80">
        <f>+C19+C28+C27+C20</f>
        <v>27</v>
      </c>
      <c r="D33" s="80">
        <f>+D19+D28+D27+D20</f>
        <v>651</v>
      </c>
      <c r="E33" s="80">
        <f>+E19+E28+E27+E20</f>
        <v>324</v>
      </c>
      <c r="F33" s="80">
        <f>+F19+F28+F27+F20</f>
        <v>14</v>
      </c>
      <c r="G33" s="80">
        <f>+G19+G28+G27+G20</f>
        <v>115</v>
      </c>
      <c r="H33" s="195">
        <f t="shared" si="1"/>
        <v>24.11111111111111</v>
      </c>
      <c r="J33" s="80">
        <f>+J19+J28+J27+J20</f>
        <v>8</v>
      </c>
      <c r="K33" s="80">
        <f>+K19+K28+K27+K20</f>
        <v>172</v>
      </c>
      <c r="L33" s="80">
        <f>+L19+L28+L27+L20</f>
        <v>80</v>
      </c>
      <c r="M33" s="80">
        <f>+M19+M28+M27+M20</f>
        <v>4</v>
      </c>
      <c r="N33" s="80">
        <f>+N19+N28+N27+N20</f>
        <v>68</v>
      </c>
      <c r="O33" s="195">
        <f t="shared" si="3"/>
        <v>21.5</v>
      </c>
      <c r="Q33" s="80">
        <f t="shared" si="0"/>
        <v>35</v>
      </c>
      <c r="R33" s="80">
        <f t="shared" si="0"/>
        <v>823</v>
      </c>
      <c r="S33" s="80">
        <f t="shared" si="0"/>
        <v>404</v>
      </c>
      <c r="T33" s="80">
        <f t="shared" si="0"/>
        <v>18</v>
      </c>
      <c r="U33" s="80">
        <f t="shared" si="0"/>
        <v>183</v>
      </c>
      <c r="V33" s="195">
        <f t="shared" si="2"/>
        <v>23.514285714285716</v>
      </c>
    </row>
    <row r="34" spans="1:22" ht="12">
      <c r="A34" s="194" t="s">
        <v>126</v>
      </c>
      <c r="B34" s="194"/>
      <c r="C34" s="80">
        <f>+C10+C11+C12+C14+C15+C16+C18+C21+C23+C24+C26+C29+C31+C32</f>
        <v>184</v>
      </c>
      <c r="D34" s="80">
        <f>+D10+D11+D12+D14+D15+D16+D18+D21+D23+D24+D26+D29+D31+D32</f>
        <v>4374</v>
      </c>
      <c r="E34" s="80">
        <f>+E10+E11+E12+E14+E15+E16+E18+E21+E23+E24+E26+E29+E31+E32</f>
        <v>2169</v>
      </c>
      <c r="F34" s="80">
        <f>+F10+F11+F12+F14+F15+F16+F18+F21+F23+F24+F26+F29+F31+F32</f>
        <v>141</v>
      </c>
      <c r="G34" s="80">
        <f>+G10+G11+G12+G14+G15+G16+G18+G21+G23+G24+G26+G29+G31+G32</f>
        <v>1162</v>
      </c>
      <c r="H34" s="195">
        <f t="shared" si="1"/>
        <v>23.77173913043478</v>
      </c>
      <c r="J34" s="80">
        <f>+J10+J11+J12+J14+J15+J16+J18+J21+J23+J24+J26+J29+J31+J32</f>
        <v>71</v>
      </c>
      <c r="K34" s="80">
        <f>+K10+K11+K12+K14+K15+K16+K18+K21+K23+K24+K26+K29+K31+K32</f>
        <v>1539</v>
      </c>
      <c r="L34" s="80">
        <f>+L10+L11+L12+L14+L15+L16+L18+L21+L23+L24+L26+L29+L31+L32</f>
        <v>741</v>
      </c>
      <c r="M34" s="80">
        <f>+M10+M11+M12+M14+M15+M16+M18+M21+M23+M24+M26+M29+M31+M32</f>
        <v>40</v>
      </c>
      <c r="N34" s="80">
        <f>+N10+N11+N12+N14+N15+N16+N18+N21+N23+N24+N26+N29+N31+N32</f>
        <v>832</v>
      </c>
      <c r="O34" s="195">
        <f t="shared" si="3"/>
        <v>21.676056338028168</v>
      </c>
      <c r="Q34" s="80">
        <f t="shared" si="0"/>
        <v>255</v>
      </c>
      <c r="R34" s="80">
        <f t="shared" si="0"/>
        <v>5913</v>
      </c>
      <c r="S34" s="80">
        <f t="shared" si="0"/>
        <v>2910</v>
      </c>
      <c r="T34" s="80">
        <f t="shared" si="0"/>
        <v>181</v>
      </c>
      <c r="U34" s="80">
        <f t="shared" si="0"/>
        <v>1994</v>
      </c>
      <c r="V34" s="195">
        <f t="shared" si="2"/>
        <v>23.188235294117646</v>
      </c>
    </row>
    <row r="35" spans="1:22" ht="12">
      <c r="A35" s="196" t="s">
        <v>48</v>
      </c>
      <c r="B35" s="196"/>
      <c r="C35" s="171">
        <f>+C9+C13+C17+C22+C25+C30</f>
        <v>211</v>
      </c>
      <c r="D35" s="171">
        <f>+D9+D13+D17+D22+D25+D30</f>
        <v>5025</v>
      </c>
      <c r="E35" s="93">
        <f>+E9+E13+E17+E22+E25+E30</f>
        <v>2493</v>
      </c>
      <c r="F35" s="93">
        <f>+F9+F13+F17+F22+F25+F30</f>
        <v>155</v>
      </c>
      <c r="G35" s="93">
        <f>+G9+G13+G17+G22+G25+G30</f>
        <v>1277</v>
      </c>
      <c r="H35" s="94">
        <f t="shared" si="1"/>
        <v>23.81516587677725</v>
      </c>
      <c r="J35" s="171">
        <f>+J9+J13+J17+J22+J25+J30</f>
        <v>79</v>
      </c>
      <c r="K35" s="171">
        <f>+K9+K13+K17+K22+K25+K30</f>
        <v>1711</v>
      </c>
      <c r="L35" s="93">
        <f>+L9+L13+L17+L22+L25+L30</f>
        <v>821</v>
      </c>
      <c r="M35" s="93">
        <f>+M9+M13+M17+M22+M25+M30</f>
        <v>44</v>
      </c>
      <c r="N35" s="93">
        <f>+N9+N13+N17+N22+N25+N30</f>
        <v>900</v>
      </c>
      <c r="O35" s="94">
        <f t="shared" si="3"/>
        <v>21.658227848101266</v>
      </c>
      <c r="Q35" s="171">
        <f t="shared" si="0"/>
        <v>290</v>
      </c>
      <c r="R35" s="171">
        <f>K35+D35</f>
        <v>6736</v>
      </c>
      <c r="S35" s="93">
        <f t="shared" si="0"/>
        <v>3314</v>
      </c>
      <c r="T35" s="93">
        <f t="shared" si="0"/>
        <v>199</v>
      </c>
      <c r="U35" s="93">
        <f t="shared" si="0"/>
        <v>2177</v>
      </c>
      <c r="V35" s="94">
        <f>R35/Q35</f>
        <v>23.22758620689655</v>
      </c>
    </row>
    <row r="36" spans="1:22" ht="12">
      <c r="A36" s="97" t="s">
        <v>146</v>
      </c>
      <c r="B36" s="106"/>
      <c r="C36" s="107"/>
      <c r="D36" s="106"/>
      <c r="E36" s="106"/>
      <c r="F36" s="106"/>
      <c r="G36" s="106"/>
      <c r="H36" s="107"/>
      <c r="I36" s="107"/>
      <c r="J36" s="108"/>
      <c r="K36" s="108"/>
      <c r="L36" s="197"/>
      <c r="M36" s="108"/>
      <c r="N36" s="109"/>
      <c r="O36" s="109"/>
      <c r="P36" s="106"/>
      <c r="Q36" s="106"/>
      <c r="T36" s="106"/>
      <c r="U36" s="106"/>
      <c r="V36" s="106"/>
    </row>
    <row r="37" spans="1:22" ht="12">
      <c r="A37" s="97" t="s">
        <v>59</v>
      </c>
      <c r="B37" s="106"/>
      <c r="C37" s="107"/>
      <c r="D37" s="106"/>
      <c r="E37" s="106"/>
      <c r="F37" s="106"/>
      <c r="G37" s="106"/>
      <c r="H37" s="107"/>
      <c r="I37" s="107"/>
      <c r="J37" s="108"/>
      <c r="K37" s="108"/>
      <c r="L37" s="197"/>
      <c r="M37" s="108"/>
      <c r="N37" s="109"/>
      <c r="O37" s="109"/>
      <c r="P37" s="106"/>
      <c r="Q37" s="106"/>
      <c r="R37" s="106"/>
      <c r="S37" s="106"/>
      <c r="T37" s="106"/>
      <c r="U37" s="106"/>
      <c r="V37" s="106"/>
    </row>
    <row r="38" spans="1:22" ht="12">
      <c r="A38" s="105" t="s">
        <v>60</v>
      </c>
      <c r="B38" s="106"/>
      <c r="C38" s="107"/>
      <c r="D38" s="106"/>
      <c r="E38" s="106"/>
      <c r="F38" s="106"/>
      <c r="G38" s="106"/>
      <c r="H38" s="107"/>
      <c r="I38" s="107"/>
      <c r="J38" s="108"/>
      <c r="K38" s="108"/>
      <c r="L38" s="108"/>
      <c r="M38" s="108"/>
      <c r="N38" s="109"/>
      <c r="O38" s="109"/>
      <c r="P38" s="106"/>
      <c r="Q38" s="106"/>
      <c r="R38" s="106"/>
      <c r="S38" s="106"/>
      <c r="T38" s="106"/>
      <c r="U38" s="106"/>
      <c r="V38" s="106"/>
    </row>
    <row r="39" spans="1:22" ht="12">
      <c r="A39" s="105" t="s">
        <v>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6"/>
      <c r="Q39" s="106"/>
      <c r="R39" s="106"/>
      <c r="S39" s="106"/>
      <c r="T39" s="106"/>
      <c r="U39" s="106"/>
      <c r="V39" s="106"/>
    </row>
    <row r="40" spans="1:22" ht="12">
      <c r="A40" s="97" t="s">
        <v>85</v>
      </c>
      <c r="B40" s="106"/>
      <c r="C40" s="107"/>
      <c r="D40" s="107"/>
      <c r="E40" s="106"/>
      <c r="F40" s="106"/>
      <c r="G40" s="106"/>
      <c r="H40" s="107"/>
      <c r="I40" s="108"/>
      <c r="J40" s="108"/>
      <c r="K40" s="108"/>
      <c r="L40" s="109"/>
      <c r="M40" s="106"/>
      <c r="N40" s="106"/>
      <c r="O40" s="106"/>
      <c r="P40" s="106"/>
      <c r="Q40" s="106"/>
      <c r="R40" s="106"/>
      <c r="S40" s="106"/>
      <c r="T40" s="144"/>
      <c r="U40" s="144"/>
      <c r="V40" s="144"/>
    </row>
    <row r="41" spans="1:19" ht="12">
      <c r="A41" s="97" t="s">
        <v>90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96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ht="12">
      <c r="A45" s="97" t="s">
        <v>101</v>
      </c>
    </row>
    <row r="46" ht="12">
      <c r="A46" s="109" t="s">
        <v>135</v>
      </c>
    </row>
    <row r="47" ht="12">
      <c r="A47" s="109" t="s">
        <v>136</v>
      </c>
    </row>
    <row r="48" ht="12">
      <c r="A48" s="109" t="s">
        <v>137</v>
      </c>
    </row>
    <row r="49" ht="12">
      <c r="A49" s="109" t="s">
        <v>138</v>
      </c>
    </row>
    <row r="50" ht="12">
      <c r="A50" s="109" t="s">
        <v>139</v>
      </c>
    </row>
    <row r="51" ht="12">
      <c r="A51" s="109" t="s">
        <v>140</v>
      </c>
    </row>
    <row r="53" ht="12">
      <c r="A53" s="105" t="s">
        <v>142</v>
      </c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&amp;R400042.xls</oddHeader>
    <oddFooter>&amp;LComune di Bologna - Dipartimento Programmazione</oddFooter>
  </headerFooter>
  <ignoredErrors>
    <ignoredError sqref="C9:V35" unlockedFormula="1"/>
    <ignoredError sqref="E8:U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7.253906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93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0">
        <v>21</v>
      </c>
      <c r="C9" s="71">
        <v>526</v>
      </c>
      <c r="D9" s="72">
        <v>254</v>
      </c>
      <c r="E9" s="72">
        <v>12</v>
      </c>
      <c r="F9" s="72">
        <v>167</v>
      </c>
      <c r="G9" s="73">
        <f aca="true" t="shared" si="0" ref="G9:G34">+C9/B9</f>
        <v>25.047619047619047</v>
      </c>
      <c r="H9" s="70"/>
      <c r="I9" s="71"/>
      <c r="J9" s="72"/>
      <c r="K9" s="72"/>
      <c r="L9" s="72"/>
      <c r="M9" s="73"/>
      <c r="N9" s="70">
        <f>B9+H9</f>
        <v>21</v>
      </c>
      <c r="O9" s="71">
        <f aca="true" t="shared" si="1" ref="O9:R33">C9+I9</f>
        <v>526</v>
      </c>
      <c r="P9" s="72">
        <f t="shared" si="1"/>
        <v>254</v>
      </c>
      <c r="Q9" s="72">
        <f t="shared" si="1"/>
        <v>12</v>
      </c>
      <c r="R9" s="72">
        <f t="shared" si="1"/>
        <v>167</v>
      </c>
      <c r="S9" s="74">
        <f aca="true" t="shared" si="2" ref="S9:S34">+O9/N9</f>
        <v>25.047619047619047</v>
      </c>
    </row>
    <row r="10" spans="1:19" ht="12">
      <c r="A10" s="69" t="s">
        <v>10</v>
      </c>
      <c r="B10" s="75">
        <f>+B11+B12+B13</f>
        <v>33</v>
      </c>
      <c r="C10" s="75">
        <f>+C11+C12+C13</f>
        <v>832</v>
      </c>
      <c r="D10" s="76">
        <f>+D11+D12+D13</f>
        <v>390</v>
      </c>
      <c r="E10" s="76">
        <f>+E11+E12+E13</f>
        <v>26</v>
      </c>
      <c r="F10" s="76">
        <f>+F11+F12+F13</f>
        <v>287</v>
      </c>
      <c r="G10" s="74">
        <f t="shared" si="0"/>
        <v>25.21212121212121</v>
      </c>
      <c r="H10" s="75">
        <f>SUM(H11:H13)</f>
        <v>18</v>
      </c>
      <c r="I10" s="75">
        <f>SUM(I11:I13)</f>
        <v>424</v>
      </c>
      <c r="J10" s="76">
        <f>SUM(J11:J13)</f>
        <v>207</v>
      </c>
      <c r="K10" s="76">
        <f>SUM(K11:K13)</f>
        <v>10</v>
      </c>
      <c r="L10" s="76">
        <f>SUM(L11:L13)</f>
        <v>245</v>
      </c>
      <c r="M10" s="74">
        <f aca="true" t="shared" si="3" ref="M10:M15">+I10/H10</f>
        <v>23.555555555555557</v>
      </c>
      <c r="N10" s="75">
        <f aca="true" t="shared" si="4" ref="N10:N33">B10+H10</f>
        <v>51</v>
      </c>
      <c r="O10" s="75">
        <f t="shared" si="1"/>
        <v>1256</v>
      </c>
      <c r="P10" s="76">
        <f t="shared" si="1"/>
        <v>597</v>
      </c>
      <c r="Q10" s="76">
        <f t="shared" si="1"/>
        <v>36</v>
      </c>
      <c r="R10" s="76">
        <f t="shared" si="1"/>
        <v>532</v>
      </c>
      <c r="S10" s="74">
        <f t="shared" si="2"/>
        <v>24.627450980392158</v>
      </c>
    </row>
    <row r="11" spans="1:19" ht="12">
      <c r="A11" s="77" t="s">
        <v>29</v>
      </c>
      <c r="B11" s="46">
        <v>17</v>
      </c>
      <c r="C11" s="47">
        <v>428</v>
      </c>
      <c r="D11" s="78">
        <v>184</v>
      </c>
      <c r="E11" s="78">
        <v>17</v>
      </c>
      <c r="F11" s="78">
        <v>151</v>
      </c>
      <c r="G11" s="79">
        <f t="shared" si="0"/>
        <v>25.176470588235293</v>
      </c>
      <c r="H11" s="46">
        <v>10</v>
      </c>
      <c r="I11" s="47">
        <v>228</v>
      </c>
      <c r="J11" s="78">
        <v>118</v>
      </c>
      <c r="K11" s="78">
        <v>6</v>
      </c>
      <c r="L11" s="78">
        <v>156</v>
      </c>
      <c r="M11" s="79">
        <f t="shared" si="3"/>
        <v>22.8</v>
      </c>
      <c r="N11" s="46">
        <f t="shared" si="4"/>
        <v>27</v>
      </c>
      <c r="O11" s="47">
        <f t="shared" si="1"/>
        <v>656</v>
      </c>
      <c r="P11" s="78">
        <f t="shared" si="1"/>
        <v>302</v>
      </c>
      <c r="Q11" s="78">
        <f t="shared" si="1"/>
        <v>23</v>
      </c>
      <c r="R11" s="78">
        <f t="shared" si="1"/>
        <v>307</v>
      </c>
      <c r="S11" s="79">
        <f t="shared" si="2"/>
        <v>24.296296296296298</v>
      </c>
    </row>
    <row r="12" spans="1:19" ht="12">
      <c r="A12" s="77" t="s">
        <v>30</v>
      </c>
      <c r="B12" s="46">
        <v>10</v>
      </c>
      <c r="C12" s="47">
        <v>258</v>
      </c>
      <c r="D12" s="78">
        <v>135</v>
      </c>
      <c r="E12" s="78">
        <v>4</v>
      </c>
      <c r="F12" s="78">
        <v>87</v>
      </c>
      <c r="G12" s="79">
        <f t="shared" si="0"/>
        <v>25.8</v>
      </c>
      <c r="H12" s="46">
        <v>4</v>
      </c>
      <c r="I12" s="47">
        <v>104</v>
      </c>
      <c r="J12" s="78">
        <v>42</v>
      </c>
      <c r="K12" s="78">
        <v>1</v>
      </c>
      <c r="L12" s="78">
        <v>49</v>
      </c>
      <c r="M12" s="79">
        <f t="shared" si="3"/>
        <v>26</v>
      </c>
      <c r="N12" s="46">
        <f t="shared" si="4"/>
        <v>14</v>
      </c>
      <c r="O12" s="47">
        <f t="shared" si="1"/>
        <v>362</v>
      </c>
      <c r="P12" s="78">
        <f t="shared" si="1"/>
        <v>177</v>
      </c>
      <c r="Q12" s="78">
        <f t="shared" si="1"/>
        <v>5</v>
      </c>
      <c r="R12" s="78">
        <f t="shared" si="1"/>
        <v>136</v>
      </c>
      <c r="S12" s="79">
        <f t="shared" si="2"/>
        <v>25.857142857142858</v>
      </c>
    </row>
    <row r="13" spans="1:19" ht="12">
      <c r="A13" s="77" t="s">
        <v>31</v>
      </c>
      <c r="B13" s="46">
        <v>6</v>
      </c>
      <c r="C13" s="47">
        <v>146</v>
      </c>
      <c r="D13" s="78">
        <v>71</v>
      </c>
      <c r="E13" s="78">
        <v>5</v>
      </c>
      <c r="F13" s="78">
        <v>49</v>
      </c>
      <c r="G13" s="79">
        <f t="shared" si="0"/>
        <v>24.333333333333332</v>
      </c>
      <c r="H13" s="46">
        <v>4</v>
      </c>
      <c r="I13" s="47">
        <v>92</v>
      </c>
      <c r="J13" s="78">
        <v>47</v>
      </c>
      <c r="K13" s="78">
        <v>3</v>
      </c>
      <c r="L13" s="78">
        <v>40</v>
      </c>
      <c r="M13" s="79">
        <f t="shared" si="3"/>
        <v>23</v>
      </c>
      <c r="N13" s="46">
        <f t="shared" si="4"/>
        <v>10</v>
      </c>
      <c r="O13" s="47">
        <f t="shared" si="1"/>
        <v>238</v>
      </c>
      <c r="P13" s="78">
        <f t="shared" si="1"/>
        <v>118</v>
      </c>
      <c r="Q13" s="78">
        <f t="shared" si="1"/>
        <v>8</v>
      </c>
      <c r="R13" s="78">
        <f t="shared" si="1"/>
        <v>89</v>
      </c>
      <c r="S13" s="79">
        <f t="shared" si="2"/>
        <v>23.8</v>
      </c>
    </row>
    <row r="14" spans="1:19" ht="12">
      <c r="A14" s="69" t="s">
        <v>11</v>
      </c>
      <c r="B14" s="75">
        <f>SUM(B15:B16)</f>
        <v>20</v>
      </c>
      <c r="C14" s="75">
        <f>SUM(C15:C16)</f>
        <v>492</v>
      </c>
      <c r="D14" s="80">
        <f>SUM(D15:D16)</f>
        <v>239</v>
      </c>
      <c r="E14" s="80">
        <f>SUM(E15:E16)</f>
        <v>9</v>
      </c>
      <c r="F14" s="80">
        <f>SUM(F15:F16)</f>
        <v>153</v>
      </c>
      <c r="G14" s="74">
        <f t="shared" si="0"/>
        <v>24.6</v>
      </c>
      <c r="H14" s="75">
        <f>SUM(H15:H16)</f>
        <v>6</v>
      </c>
      <c r="I14" s="75">
        <f>SUM(I15:I16)</f>
        <v>143</v>
      </c>
      <c r="J14" s="80">
        <f>SUM(J15:J16)</f>
        <v>72</v>
      </c>
      <c r="K14" s="80"/>
      <c r="L14" s="80">
        <f>SUM(L15:L16)</f>
        <v>51</v>
      </c>
      <c r="M14" s="74">
        <f t="shared" si="3"/>
        <v>23.833333333333332</v>
      </c>
      <c r="N14" s="75">
        <f t="shared" si="4"/>
        <v>26</v>
      </c>
      <c r="O14" s="75">
        <f t="shared" si="1"/>
        <v>635</v>
      </c>
      <c r="P14" s="80">
        <f t="shared" si="1"/>
        <v>311</v>
      </c>
      <c r="Q14" s="80">
        <f t="shared" si="1"/>
        <v>9</v>
      </c>
      <c r="R14" s="80">
        <f t="shared" si="1"/>
        <v>204</v>
      </c>
      <c r="S14" s="74">
        <f t="shared" si="2"/>
        <v>24.423076923076923</v>
      </c>
    </row>
    <row r="15" spans="1:19" ht="12">
      <c r="A15" s="77" t="s">
        <v>32</v>
      </c>
      <c r="B15" s="46">
        <v>2</v>
      </c>
      <c r="C15" s="47">
        <v>54</v>
      </c>
      <c r="D15" s="78">
        <v>24</v>
      </c>
      <c r="E15" s="78">
        <v>4</v>
      </c>
      <c r="F15" s="78">
        <v>8</v>
      </c>
      <c r="G15" s="79">
        <f t="shared" si="0"/>
        <v>27</v>
      </c>
      <c r="H15" s="46">
        <v>6</v>
      </c>
      <c r="I15" s="47">
        <v>143</v>
      </c>
      <c r="J15" s="78">
        <v>72</v>
      </c>
      <c r="K15" s="78"/>
      <c r="L15" s="78">
        <v>51</v>
      </c>
      <c r="M15" s="79">
        <f t="shared" si="3"/>
        <v>23.833333333333332</v>
      </c>
      <c r="N15" s="46">
        <f t="shared" si="4"/>
        <v>8</v>
      </c>
      <c r="O15" s="47">
        <f t="shared" si="1"/>
        <v>197</v>
      </c>
      <c r="P15" s="78">
        <f t="shared" si="1"/>
        <v>96</v>
      </c>
      <c r="Q15" s="78">
        <f t="shared" si="1"/>
        <v>4</v>
      </c>
      <c r="R15" s="78">
        <f t="shared" si="1"/>
        <v>59</v>
      </c>
      <c r="S15" s="79">
        <f t="shared" si="2"/>
        <v>24.625</v>
      </c>
    </row>
    <row r="16" spans="1:19" ht="12">
      <c r="A16" s="77" t="s">
        <v>33</v>
      </c>
      <c r="B16" s="46">
        <v>18</v>
      </c>
      <c r="C16" s="47">
        <v>438</v>
      </c>
      <c r="D16" s="78">
        <v>215</v>
      </c>
      <c r="E16" s="78">
        <v>5</v>
      </c>
      <c r="F16" s="78">
        <v>145</v>
      </c>
      <c r="G16" s="79">
        <f t="shared" si="0"/>
        <v>24.333333333333332</v>
      </c>
      <c r="H16" s="46"/>
      <c r="I16" s="47"/>
      <c r="J16" s="78"/>
      <c r="K16" s="78"/>
      <c r="L16" s="78"/>
      <c r="M16" s="79"/>
      <c r="N16" s="46">
        <f t="shared" si="4"/>
        <v>18</v>
      </c>
      <c r="O16" s="47">
        <f t="shared" si="1"/>
        <v>438</v>
      </c>
      <c r="P16" s="78">
        <f t="shared" si="1"/>
        <v>215</v>
      </c>
      <c r="Q16" s="78">
        <f t="shared" si="1"/>
        <v>5</v>
      </c>
      <c r="R16" s="78">
        <f t="shared" si="1"/>
        <v>145</v>
      </c>
      <c r="S16" s="79">
        <f t="shared" si="2"/>
        <v>24.333333333333332</v>
      </c>
    </row>
    <row r="17" spans="1:19" ht="12">
      <c r="A17" s="69" t="s">
        <v>12</v>
      </c>
      <c r="B17" s="75">
        <f>SUM(B18:B19)</f>
        <v>22</v>
      </c>
      <c r="C17" s="75">
        <f>SUM(C18:C19)</f>
        <v>554</v>
      </c>
      <c r="D17" s="80">
        <f>SUM(D18:D19)</f>
        <v>275</v>
      </c>
      <c r="E17" s="80">
        <f>SUM(E18:E19)</f>
        <v>14</v>
      </c>
      <c r="F17" s="80">
        <f>SUM(F18:F19)</f>
        <v>147</v>
      </c>
      <c r="G17" s="74">
        <f t="shared" si="0"/>
        <v>25.181818181818183</v>
      </c>
      <c r="H17" s="75">
        <f>SUM(H18:H19)</f>
        <v>6</v>
      </c>
      <c r="I17" s="75">
        <f>SUM(I18:I19)</f>
        <v>148</v>
      </c>
      <c r="J17" s="80">
        <f>SUM(J18:J19)</f>
        <v>67</v>
      </c>
      <c r="K17" s="80"/>
      <c r="L17" s="80">
        <f>SUM(L18:L19)</f>
        <v>76</v>
      </c>
      <c r="M17" s="74">
        <f>+I17/H17</f>
        <v>24.666666666666668</v>
      </c>
      <c r="N17" s="75">
        <f t="shared" si="4"/>
        <v>28</v>
      </c>
      <c r="O17" s="75">
        <f t="shared" si="1"/>
        <v>702</v>
      </c>
      <c r="P17" s="80">
        <f t="shared" si="1"/>
        <v>342</v>
      </c>
      <c r="Q17" s="80">
        <f t="shared" si="1"/>
        <v>14</v>
      </c>
      <c r="R17" s="80">
        <f t="shared" si="1"/>
        <v>223</v>
      </c>
      <c r="S17" s="74">
        <f t="shared" si="2"/>
        <v>25.071428571428573</v>
      </c>
    </row>
    <row r="18" spans="1:19" ht="12">
      <c r="A18" s="77" t="s">
        <v>34</v>
      </c>
      <c r="B18" s="46">
        <v>12</v>
      </c>
      <c r="C18" s="47">
        <v>304</v>
      </c>
      <c r="D18" s="78">
        <v>140</v>
      </c>
      <c r="E18" s="78">
        <v>7</v>
      </c>
      <c r="F18" s="78">
        <v>76</v>
      </c>
      <c r="G18" s="79">
        <f t="shared" si="0"/>
        <v>25.333333333333332</v>
      </c>
      <c r="H18" s="46">
        <v>4</v>
      </c>
      <c r="I18" s="47">
        <v>99</v>
      </c>
      <c r="J18" s="78">
        <v>43</v>
      </c>
      <c r="K18" s="78"/>
      <c r="L18" s="78">
        <v>55</v>
      </c>
      <c r="M18" s="79">
        <f>+I18/H18</f>
        <v>24.75</v>
      </c>
      <c r="N18" s="46">
        <f t="shared" si="4"/>
        <v>16</v>
      </c>
      <c r="O18" s="47">
        <f t="shared" si="1"/>
        <v>403</v>
      </c>
      <c r="P18" s="78">
        <f t="shared" si="1"/>
        <v>183</v>
      </c>
      <c r="Q18" s="78">
        <f t="shared" si="1"/>
        <v>7</v>
      </c>
      <c r="R18" s="78">
        <f t="shared" si="1"/>
        <v>131</v>
      </c>
      <c r="S18" s="79">
        <f t="shared" si="2"/>
        <v>25.1875</v>
      </c>
    </row>
    <row r="19" spans="1:19" ht="12">
      <c r="A19" s="77" t="s">
        <v>35</v>
      </c>
      <c r="B19" s="46">
        <v>10</v>
      </c>
      <c r="C19" s="47">
        <v>250</v>
      </c>
      <c r="D19" s="78">
        <v>135</v>
      </c>
      <c r="E19" s="78">
        <v>7</v>
      </c>
      <c r="F19" s="78">
        <v>71</v>
      </c>
      <c r="G19" s="79">
        <f t="shared" si="0"/>
        <v>25</v>
      </c>
      <c r="H19" s="46">
        <v>2</v>
      </c>
      <c r="I19" s="47">
        <v>49</v>
      </c>
      <c r="J19" s="78">
        <v>24</v>
      </c>
      <c r="K19" s="78"/>
      <c r="L19" s="78">
        <v>21</v>
      </c>
      <c r="M19" s="79"/>
      <c r="N19" s="46">
        <f t="shared" si="4"/>
        <v>12</v>
      </c>
      <c r="O19" s="47">
        <f t="shared" si="1"/>
        <v>299</v>
      </c>
      <c r="P19" s="78">
        <f t="shared" si="1"/>
        <v>159</v>
      </c>
      <c r="Q19" s="78">
        <f t="shared" si="1"/>
        <v>7</v>
      </c>
      <c r="R19" s="78">
        <f t="shared" si="1"/>
        <v>92</v>
      </c>
      <c r="S19" s="79">
        <f t="shared" si="2"/>
        <v>24.916666666666668</v>
      </c>
    </row>
    <row r="20" spans="1:19" ht="12">
      <c r="A20" s="69" t="s">
        <v>36</v>
      </c>
      <c r="B20" s="70">
        <v>17</v>
      </c>
      <c r="C20" s="71">
        <v>416</v>
      </c>
      <c r="D20" s="72">
        <v>188</v>
      </c>
      <c r="E20" s="72">
        <v>12</v>
      </c>
      <c r="F20" s="72">
        <v>143</v>
      </c>
      <c r="G20" s="73">
        <f>+C20/B20</f>
        <v>24.470588235294116</v>
      </c>
      <c r="H20" s="70">
        <v>12</v>
      </c>
      <c r="I20" s="71">
        <v>279</v>
      </c>
      <c r="J20" s="72">
        <v>121</v>
      </c>
      <c r="K20" s="72">
        <v>8</v>
      </c>
      <c r="L20" s="72">
        <v>138</v>
      </c>
      <c r="M20" s="73">
        <f>+I20/H20</f>
        <v>23.25</v>
      </c>
      <c r="N20" s="70">
        <f t="shared" si="4"/>
        <v>29</v>
      </c>
      <c r="O20" s="71">
        <f t="shared" si="1"/>
        <v>695</v>
      </c>
      <c r="P20" s="72">
        <f t="shared" si="1"/>
        <v>309</v>
      </c>
      <c r="Q20" s="72">
        <f t="shared" si="1"/>
        <v>20</v>
      </c>
      <c r="R20" s="72">
        <f t="shared" si="1"/>
        <v>281</v>
      </c>
      <c r="S20" s="74">
        <f t="shared" si="2"/>
        <v>23.96551724137931</v>
      </c>
    </row>
    <row r="21" spans="1:19" ht="12">
      <c r="A21" s="69" t="s">
        <v>37</v>
      </c>
      <c r="B21" s="81">
        <f>SUM(B22:B24)</f>
        <v>30</v>
      </c>
      <c r="C21" s="81">
        <f>SUM(C22:C24)</f>
        <v>700</v>
      </c>
      <c r="D21" s="82">
        <f>SUM(D22:D24)</f>
        <v>356</v>
      </c>
      <c r="E21" s="82">
        <f>SUM(E22:E24)</f>
        <v>8</v>
      </c>
      <c r="F21" s="82">
        <f>SUM(F22:F24)</f>
        <v>67</v>
      </c>
      <c r="G21" s="74">
        <f t="shared" si="0"/>
        <v>23.333333333333332</v>
      </c>
      <c r="H21" s="81">
        <f>SUM(H22:H24)</f>
        <v>5</v>
      </c>
      <c r="I21" s="81">
        <f>SUM(I22:I24)</f>
        <v>121</v>
      </c>
      <c r="J21" s="82">
        <f>SUM(J22:J24)</f>
        <v>56</v>
      </c>
      <c r="K21" s="82">
        <f>SUM(K22:K24)</f>
        <v>2</v>
      </c>
      <c r="L21" s="82">
        <f>SUM(L22:L24)</f>
        <v>22</v>
      </c>
      <c r="M21" s="74">
        <f>+I21/H21</f>
        <v>24.2</v>
      </c>
      <c r="N21" s="81">
        <f t="shared" si="4"/>
        <v>35</v>
      </c>
      <c r="O21" s="81">
        <f t="shared" si="1"/>
        <v>821</v>
      </c>
      <c r="P21" s="82">
        <f t="shared" si="1"/>
        <v>412</v>
      </c>
      <c r="Q21" s="82">
        <f t="shared" si="1"/>
        <v>10</v>
      </c>
      <c r="R21" s="82">
        <f t="shared" si="1"/>
        <v>89</v>
      </c>
      <c r="S21" s="74">
        <f t="shared" si="2"/>
        <v>23.457142857142856</v>
      </c>
    </row>
    <row r="22" spans="1:19" ht="12.75">
      <c r="A22" s="77" t="s">
        <v>38</v>
      </c>
      <c r="B22" s="46">
        <v>7</v>
      </c>
      <c r="C22" s="47">
        <v>150</v>
      </c>
      <c r="D22" s="78">
        <v>73</v>
      </c>
      <c r="E22" s="78">
        <v>1</v>
      </c>
      <c r="F22" s="78">
        <v>13</v>
      </c>
      <c r="G22" s="79">
        <f t="shared" si="0"/>
        <v>21.428571428571427</v>
      </c>
      <c r="H22" s="46"/>
      <c r="I22" s="47"/>
      <c r="J22" s="78"/>
      <c r="K22" s="78"/>
      <c r="L22" s="78"/>
      <c r="M22" s="79"/>
      <c r="N22" s="83">
        <f t="shared" si="4"/>
        <v>7</v>
      </c>
      <c r="O22" s="84">
        <f t="shared" si="1"/>
        <v>150</v>
      </c>
      <c r="P22" s="78">
        <f t="shared" si="1"/>
        <v>73</v>
      </c>
      <c r="Q22" s="78">
        <f t="shared" si="1"/>
        <v>1</v>
      </c>
      <c r="R22" s="78">
        <f t="shared" si="1"/>
        <v>13</v>
      </c>
      <c r="S22" s="79">
        <f t="shared" si="2"/>
        <v>21.428571428571427</v>
      </c>
    </row>
    <row r="23" spans="1:19" ht="12">
      <c r="A23" s="77" t="s">
        <v>39</v>
      </c>
      <c r="B23" s="46">
        <v>8</v>
      </c>
      <c r="C23" s="47">
        <v>196</v>
      </c>
      <c r="D23" s="78">
        <v>108</v>
      </c>
      <c r="E23" s="78">
        <v>1</v>
      </c>
      <c r="F23" s="78">
        <v>22</v>
      </c>
      <c r="G23" s="79">
        <f t="shared" si="0"/>
        <v>24.5</v>
      </c>
      <c r="H23" s="46"/>
      <c r="I23" s="47"/>
      <c r="J23" s="78"/>
      <c r="K23" s="78"/>
      <c r="L23" s="78"/>
      <c r="M23" s="79"/>
      <c r="N23" s="85">
        <f t="shared" si="4"/>
        <v>8</v>
      </c>
      <c r="O23" s="84">
        <f t="shared" si="1"/>
        <v>196</v>
      </c>
      <c r="P23" s="78">
        <f t="shared" si="1"/>
        <v>108</v>
      </c>
      <c r="Q23" s="78">
        <f t="shared" si="1"/>
        <v>1</v>
      </c>
      <c r="R23" s="78">
        <f t="shared" si="1"/>
        <v>22</v>
      </c>
      <c r="S23" s="79">
        <f t="shared" si="2"/>
        <v>24.5</v>
      </c>
    </row>
    <row r="24" spans="1:19" ht="12">
      <c r="A24" s="77" t="s">
        <v>40</v>
      </c>
      <c r="B24" s="46">
        <v>15</v>
      </c>
      <c r="C24" s="47">
        <v>354</v>
      </c>
      <c r="D24" s="78">
        <v>175</v>
      </c>
      <c r="E24" s="78">
        <v>6</v>
      </c>
      <c r="F24" s="78">
        <v>32</v>
      </c>
      <c r="G24" s="79">
        <f t="shared" si="0"/>
        <v>23.6</v>
      </c>
      <c r="H24" s="46">
        <v>5</v>
      </c>
      <c r="I24" s="47">
        <v>121</v>
      </c>
      <c r="J24" s="78">
        <v>56</v>
      </c>
      <c r="K24" s="78">
        <v>2</v>
      </c>
      <c r="L24" s="78">
        <v>22</v>
      </c>
      <c r="M24" s="79">
        <f>+I24/H24</f>
        <v>24.2</v>
      </c>
      <c r="N24" s="84">
        <f t="shared" si="4"/>
        <v>20</v>
      </c>
      <c r="O24" s="47">
        <f t="shared" si="1"/>
        <v>475</v>
      </c>
      <c r="P24" s="78">
        <f t="shared" si="1"/>
        <v>231</v>
      </c>
      <c r="Q24" s="78">
        <f t="shared" si="1"/>
        <v>8</v>
      </c>
      <c r="R24" s="78">
        <f t="shared" si="1"/>
        <v>54</v>
      </c>
      <c r="S24" s="79">
        <f t="shared" si="2"/>
        <v>23.75</v>
      </c>
    </row>
    <row r="25" spans="1:19" ht="12">
      <c r="A25" s="69" t="s">
        <v>41</v>
      </c>
      <c r="B25" s="75">
        <f>SUM(B26:B27)</f>
        <v>20</v>
      </c>
      <c r="C25" s="75">
        <f>SUM(C26:C27)</f>
        <v>495</v>
      </c>
      <c r="D25" s="80">
        <f>SUM(D26:D27)</f>
        <v>238</v>
      </c>
      <c r="E25" s="80">
        <f>SUM(E26:E27)</f>
        <v>14</v>
      </c>
      <c r="F25" s="80">
        <f>SUM(F26:F27)</f>
        <v>95</v>
      </c>
      <c r="G25" s="74">
        <f t="shared" si="0"/>
        <v>24.75</v>
      </c>
      <c r="H25" s="75">
        <f>SUM(H26:H27)</f>
        <v>14</v>
      </c>
      <c r="I25" s="75">
        <f>SUM(I26:I27)</f>
        <v>325</v>
      </c>
      <c r="J25" s="80">
        <f>SUM(J26:J27)</f>
        <v>150</v>
      </c>
      <c r="K25" s="80">
        <f>SUM(K26:K27)</f>
        <v>4</v>
      </c>
      <c r="L25" s="80">
        <f>SUM(L26:L27)</f>
        <v>133</v>
      </c>
      <c r="M25" s="74">
        <f>+I25/H25</f>
        <v>23.214285714285715</v>
      </c>
      <c r="N25" s="75">
        <f t="shared" si="4"/>
        <v>34</v>
      </c>
      <c r="O25" s="75">
        <f t="shared" si="1"/>
        <v>820</v>
      </c>
      <c r="P25" s="80">
        <f t="shared" si="1"/>
        <v>388</v>
      </c>
      <c r="Q25" s="80">
        <f t="shared" si="1"/>
        <v>18</v>
      </c>
      <c r="R25" s="80">
        <f t="shared" si="1"/>
        <v>228</v>
      </c>
      <c r="S25" s="74">
        <f t="shared" si="2"/>
        <v>24.11764705882353</v>
      </c>
    </row>
    <row r="26" spans="1:19" ht="12">
      <c r="A26" s="46" t="s">
        <v>42</v>
      </c>
      <c r="B26" s="46">
        <v>9</v>
      </c>
      <c r="C26" s="47">
        <v>221</v>
      </c>
      <c r="D26" s="78">
        <v>106</v>
      </c>
      <c r="E26" s="78">
        <v>7</v>
      </c>
      <c r="F26" s="78">
        <v>44</v>
      </c>
      <c r="G26" s="79">
        <f t="shared" si="0"/>
        <v>24.555555555555557</v>
      </c>
      <c r="H26" s="46"/>
      <c r="I26" s="47"/>
      <c r="J26" s="78"/>
      <c r="K26" s="78"/>
      <c r="L26" s="78"/>
      <c r="M26" s="79"/>
      <c r="N26" s="46">
        <f t="shared" si="4"/>
        <v>9</v>
      </c>
      <c r="O26" s="47">
        <f t="shared" si="1"/>
        <v>221</v>
      </c>
      <c r="P26" s="78">
        <f t="shared" si="1"/>
        <v>106</v>
      </c>
      <c r="Q26" s="78">
        <f t="shared" si="1"/>
        <v>7</v>
      </c>
      <c r="R26" s="78">
        <f t="shared" si="1"/>
        <v>44</v>
      </c>
      <c r="S26" s="79">
        <f t="shared" si="2"/>
        <v>24.555555555555557</v>
      </c>
    </row>
    <row r="27" spans="1:19" ht="12">
      <c r="A27" s="77" t="s">
        <v>43</v>
      </c>
      <c r="B27" s="46">
        <v>11</v>
      </c>
      <c r="C27" s="47">
        <v>274</v>
      </c>
      <c r="D27" s="78">
        <v>132</v>
      </c>
      <c r="E27" s="78">
        <v>7</v>
      </c>
      <c r="F27" s="78">
        <v>51</v>
      </c>
      <c r="G27" s="79">
        <f t="shared" si="0"/>
        <v>24.90909090909091</v>
      </c>
      <c r="H27" s="46">
        <v>14</v>
      </c>
      <c r="I27" s="47">
        <v>325</v>
      </c>
      <c r="J27" s="78">
        <v>150</v>
      </c>
      <c r="K27" s="78">
        <v>4</v>
      </c>
      <c r="L27" s="78">
        <v>133</v>
      </c>
      <c r="M27" s="79">
        <f>+I27/H27</f>
        <v>23.214285714285715</v>
      </c>
      <c r="N27" s="46">
        <f t="shared" si="4"/>
        <v>25</v>
      </c>
      <c r="O27" s="47">
        <f t="shared" si="1"/>
        <v>599</v>
      </c>
      <c r="P27" s="78">
        <f t="shared" si="1"/>
        <v>282</v>
      </c>
      <c r="Q27" s="78">
        <f t="shared" si="1"/>
        <v>11</v>
      </c>
      <c r="R27" s="78">
        <f t="shared" si="1"/>
        <v>184</v>
      </c>
      <c r="S27" s="79">
        <f t="shared" si="2"/>
        <v>23.96</v>
      </c>
    </row>
    <row r="28" spans="1:19" ht="12">
      <c r="A28" s="69" t="s">
        <v>16</v>
      </c>
      <c r="B28" s="75">
        <f>SUM(B29:B30)</f>
        <v>26</v>
      </c>
      <c r="C28" s="75">
        <f>SUM(C29:C30)</f>
        <v>642</v>
      </c>
      <c r="D28" s="80">
        <f>SUM(D29:D30)</f>
        <v>334</v>
      </c>
      <c r="E28" s="80">
        <f>SUM(E29:E30)</f>
        <v>16</v>
      </c>
      <c r="F28" s="80">
        <f>SUM(F29:F30)</f>
        <v>112</v>
      </c>
      <c r="G28" s="74">
        <f t="shared" si="0"/>
        <v>24.692307692307693</v>
      </c>
      <c r="H28" s="75">
        <f>SUM(H29:H30)</f>
        <v>2</v>
      </c>
      <c r="I28" s="75">
        <f>SUM(I29:I30)</f>
        <v>50</v>
      </c>
      <c r="J28" s="80">
        <f>SUM(J29:J30)</f>
        <v>17</v>
      </c>
      <c r="K28" s="80"/>
      <c r="L28" s="80">
        <f>SUM(L29:L30)</f>
        <v>18</v>
      </c>
      <c r="M28" s="74">
        <f>+I28/H28</f>
        <v>25</v>
      </c>
      <c r="N28" s="75">
        <f t="shared" si="4"/>
        <v>28</v>
      </c>
      <c r="O28" s="75">
        <f t="shared" si="1"/>
        <v>692</v>
      </c>
      <c r="P28" s="80">
        <f t="shared" si="1"/>
        <v>351</v>
      </c>
      <c r="Q28" s="80">
        <f t="shared" si="1"/>
        <v>16</v>
      </c>
      <c r="R28" s="80">
        <f t="shared" si="1"/>
        <v>130</v>
      </c>
      <c r="S28" s="74">
        <f t="shared" si="2"/>
        <v>24.714285714285715</v>
      </c>
    </row>
    <row r="29" spans="1:19" ht="12">
      <c r="A29" s="77" t="s">
        <v>44</v>
      </c>
      <c r="B29" s="46">
        <v>19</v>
      </c>
      <c r="C29" s="47">
        <v>469</v>
      </c>
      <c r="D29" s="78">
        <v>241</v>
      </c>
      <c r="E29" s="78">
        <v>6</v>
      </c>
      <c r="F29" s="78">
        <v>67</v>
      </c>
      <c r="G29" s="79">
        <f t="shared" si="0"/>
        <v>24.68421052631579</v>
      </c>
      <c r="H29" s="46"/>
      <c r="I29" s="47"/>
      <c r="J29" s="78"/>
      <c r="K29" s="78"/>
      <c r="L29" s="78"/>
      <c r="M29" s="79"/>
      <c r="N29" s="46">
        <f t="shared" si="4"/>
        <v>19</v>
      </c>
      <c r="O29" s="47">
        <f t="shared" si="1"/>
        <v>469</v>
      </c>
      <c r="P29" s="78">
        <f t="shared" si="1"/>
        <v>241</v>
      </c>
      <c r="Q29" s="78">
        <f t="shared" si="1"/>
        <v>6</v>
      </c>
      <c r="R29" s="78">
        <f t="shared" si="1"/>
        <v>67</v>
      </c>
      <c r="S29" s="79">
        <f t="shared" si="2"/>
        <v>24.68421052631579</v>
      </c>
    </row>
    <row r="30" spans="1:19" ht="12">
      <c r="A30" s="77" t="s">
        <v>45</v>
      </c>
      <c r="B30" s="46">
        <v>7</v>
      </c>
      <c r="C30" s="47">
        <v>173</v>
      </c>
      <c r="D30" s="78">
        <v>93</v>
      </c>
      <c r="E30" s="78">
        <v>10</v>
      </c>
      <c r="F30" s="78">
        <v>45</v>
      </c>
      <c r="G30" s="79">
        <f t="shared" si="0"/>
        <v>24.714285714285715</v>
      </c>
      <c r="H30" s="46">
        <v>2</v>
      </c>
      <c r="I30" s="47">
        <v>50</v>
      </c>
      <c r="J30" s="78">
        <v>17</v>
      </c>
      <c r="K30" s="78"/>
      <c r="L30" s="78">
        <v>18</v>
      </c>
      <c r="M30" s="79">
        <f>+I30/H30</f>
        <v>25</v>
      </c>
      <c r="N30" s="46">
        <f t="shared" si="4"/>
        <v>9</v>
      </c>
      <c r="O30" s="47">
        <f t="shared" si="1"/>
        <v>223</v>
      </c>
      <c r="P30" s="78">
        <f t="shared" si="1"/>
        <v>110</v>
      </c>
      <c r="Q30" s="78">
        <f t="shared" si="1"/>
        <v>10</v>
      </c>
      <c r="R30" s="78">
        <f t="shared" si="1"/>
        <v>63</v>
      </c>
      <c r="S30" s="79">
        <f t="shared" si="2"/>
        <v>24.77777777777778</v>
      </c>
    </row>
    <row r="31" spans="1:19" ht="12">
      <c r="A31" s="69" t="s">
        <v>17</v>
      </c>
      <c r="B31" s="75">
        <f>SUM(B32:B33)</f>
        <v>24</v>
      </c>
      <c r="C31" s="75">
        <f>SUM(C32:C33)</f>
        <v>599</v>
      </c>
      <c r="D31" s="80">
        <f>SUM(D32:D33)</f>
        <v>284</v>
      </c>
      <c r="E31" s="80">
        <f>SUM(E32:E33)</f>
        <v>15</v>
      </c>
      <c r="F31" s="80">
        <f>SUM(F32:F33)</f>
        <v>66</v>
      </c>
      <c r="G31" s="74">
        <f t="shared" si="0"/>
        <v>24.958333333333332</v>
      </c>
      <c r="H31" s="75">
        <f>SUM(H32:H33)</f>
        <v>17</v>
      </c>
      <c r="I31" s="75">
        <f>SUM(I32:I33)</f>
        <v>417</v>
      </c>
      <c r="J31" s="80">
        <f>SUM(J32:J33)</f>
        <v>201</v>
      </c>
      <c r="K31" s="80">
        <f>SUM(K32:K33)</f>
        <v>4</v>
      </c>
      <c r="L31" s="80">
        <f>SUM(L32:L33)</f>
        <v>71</v>
      </c>
      <c r="M31" s="74">
        <f>+I31/H31</f>
        <v>24.529411764705884</v>
      </c>
      <c r="N31" s="75">
        <f t="shared" si="4"/>
        <v>41</v>
      </c>
      <c r="O31" s="75">
        <f t="shared" si="1"/>
        <v>1016</v>
      </c>
      <c r="P31" s="80">
        <f t="shared" si="1"/>
        <v>485</v>
      </c>
      <c r="Q31" s="80">
        <f t="shared" si="1"/>
        <v>19</v>
      </c>
      <c r="R31" s="80">
        <f t="shared" si="1"/>
        <v>137</v>
      </c>
      <c r="S31" s="74">
        <f t="shared" si="2"/>
        <v>24.78048780487805</v>
      </c>
    </row>
    <row r="32" spans="1:19" ht="12">
      <c r="A32" s="86" t="s">
        <v>46</v>
      </c>
      <c r="B32" s="46">
        <v>17</v>
      </c>
      <c r="C32" s="47">
        <v>424</v>
      </c>
      <c r="D32" s="78">
        <v>207</v>
      </c>
      <c r="E32" s="78">
        <v>10</v>
      </c>
      <c r="F32" s="78">
        <v>48</v>
      </c>
      <c r="G32" s="79">
        <f t="shared" si="0"/>
        <v>24.941176470588236</v>
      </c>
      <c r="H32" s="46">
        <v>11</v>
      </c>
      <c r="I32" s="47">
        <v>267</v>
      </c>
      <c r="J32" s="78">
        <v>124</v>
      </c>
      <c r="K32" s="78">
        <v>4</v>
      </c>
      <c r="L32" s="78">
        <v>49</v>
      </c>
      <c r="M32" s="79">
        <f>+I32/H32</f>
        <v>24.272727272727273</v>
      </c>
      <c r="N32" s="46">
        <f t="shared" si="4"/>
        <v>28</v>
      </c>
      <c r="O32" s="47">
        <f t="shared" si="1"/>
        <v>691</v>
      </c>
      <c r="P32" s="78">
        <f t="shared" si="1"/>
        <v>331</v>
      </c>
      <c r="Q32" s="78">
        <f t="shared" si="1"/>
        <v>14</v>
      </c>
      <c r="R32" s="78">
        <f t="shared" si="1"/>
        <v>97</v>
      </c>
      <c r="S32" s="79">
        <f t="shared" si="2"/>
        <v>24.678571428571427</v>
      </c>
    </row>
    <row r="33" spans="1:19" ht="12">
      <c r="A33" s="86" t="s">
        <v>47</v>
      </c>
      <c r="B33" s="46">
        <v>7</v>
      </c>
      <c r="C33" s="47">
        <v>175</v>
      </c>
      <c r="D33" s="78">
        <v>77</v>
      </c>
      <c r="E33" s="78">
        <v>5</v>
      </c>
      <c r="F33" s="78">
        <v>18</v>
      </c>
      <c r="G33" s="87">
        <f t="shared" si="0"/>
        <v>25</v>
      </c>
      <c r="H33" s="46">
        <v>6</v>
      </c>
      <c r="I33" s="47">
        <v>150</v>
      </c>
      <c r="J33" s="78">
        <v>77</v>
      </c>
      <c r="K33" s="78"/>
      <c r="L33" s="78">
        <v>22</v>
      </c>
      <c r="M33" s="87">
        <f>+I33/H33</f>
        <v>25</v>
      </c>
      <c r="N33" s="48">
        <f t="shared" si="4"/>
        <v>13</v>
      </c>
      <c r="O33" s="47">
        <f t="shared" si="1"/>
        <v>325</v>
      </c>
      <c r="P33" s="88">
        <f t="shared" si="1"/>
        <v>154</v>
      </c>
      <c r="Q33" s="88">
        <f t="shared" si="1"/>
        <v>5</v>
      </c>
      <c r="R33" s="88">
        <f t="shared" si="1"/>
        <v>40</v>
      </c>
      <c r="S33" s="87">
        <f t="shared" si="2"/>
        <v>25</v>
      </c>
    </row>
    <row r="34" spans="1:19" ht="12">
      <c r="A34" s="89" t="s">
        <v>48</v>
      </c>
      <c r="B34" s="90">
        <f>+B9+B10+B14+B17+B20+B21+B25+B28+B31</f>
        <v>213</v>
      </c>
      <c r="C34" s="91">
        <f>+C9+C10+C14+C17+C20+C21+C25+C28+C31</f>
        <v>5256</v>
      </c>
      <c r="D34" s="92">
        <f>+D9+D10+D14+D17+D20+D21+D25+D28+D31</f>
        <v>2558</v>
      </c>
      <c r="E34" s="93">
        <f>+E9+E10+E14+E17+E20+E21+E25+E28+E31</f>
        <v>126</v>
      </c>
      <c r="F34" s="93">
        <f>+F9+F10+F14+F17+F20+F21+F25+F28+F31</f>
        <v>1237</v>
      </c>
      <c r="G34" s="94">
        <f t="shared" si="0"/>
        <v>24.676056338028168</v>
      </c>
      <c r="H34" s="90">
        <f>+H9+H10+H14+H17+H20+H21+H25+H28+H31</f>
        <v>80</v>
      </c>
      <c r="I34" s="91">
        <f>+I10+I14+I17+I20+I21+I25+I28+I31</f>
        <v>1907</v>
      </c>
      <c r="J34" s="92">
        <f>+J10+J14+J17+J20+J21+J25+J28+J31</f>
        <v>891</v>
      </c>
      <c r="K34" s="95">
        <f>+K10+K14+K17+K20+K21+K25+K28+K31</f>
        <v>28</v>
      </c>
      <c r="L34" s="95">
        <f>+L10+L14+L17+L20+L21+L25+L28+L31</f>
        <v>754</v>
      </c>
      <c r="M34" s="96">
        <f>+I34/H34</f>
        <v>23.8375</v>
      </c>
      <c r="N34" s="90">
        <f>H34+B34</f>
        <v>293</v>
      </c>
      <c r="O34" s="91">
        <f>I34+C34</f>
        <v>7163</v>
      </c>
      <c r="P34" s="92">
        <f>J34+D34</f>
        <v>3449</v>
      </c>
      <c r="Q34" s="93">
        <f>K34+E34</f>
        <v>154</v>
      </c>
      <c r="R34" s="93">
        <f>L34+F34</f>
        <v>1991</v>
      </c>
      <c r="S34" s="94">
        <f t="shared" si="2"/>
        <v>24.447098976109213</v>
      </c>
    </row>
    <row r="35" spans="1:19" ht="12">
      <c r="A35" s="97" t="s">
        <v>94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4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97" t="s">
        <v>85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97" t="s">
        <v>90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1:19" ht="12">
      <c r="A41" s="97" t="s">
        <v>91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</sheetData>
  <sheetProtection/>
  <mergeCells count="7">
    <mergeCell ref="B3:S3"/>
    <mergeCell ref="B4:G4"/>
    <mergeCell ref="H4:M4"/>
    <mergeCell ref="N4:S4"/>
    <mergeCell ref="C5:G5"/>
    <mergeCell ref="I5:M5"/>
    <mergeCell ref="O5:S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&amp;R400042.xls</oddHeader>
    <oddFooter>&amp;LComune di Bologna - Dipartimento Programmazione</oddFooter>
  </headerFooter>
  <ignoredErrors>
    <ignoredError sqref="B35:F35 B10:F16 H10:S16 G9:G13 B19:F34 H19:S34 S17:S18 H35:S35 S9" unlockedFormula="1"/>
    <ignoredError sqref="H17:R18 B17:F18 G19:G34 G14:G16 G35 G17:G18" formulaRange="1" unlockedFormula="1"/>
    <ignoredError sqref="G19:G34 G14:G16 G35" formula="1" unlockedFormula="1"/>
    <ignoredError sqref="G17:G18" formula="1" formulaRange="1" unlockedFormula="1"/>
    <ignoredError sqref="D8:S8 O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P1" sqref="P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6.253906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O1" s="49"/>
      <c r="P1" s="51" t="s">
        <v>25</v>
      </c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88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0">
        <v>21</v>
      </c>
      <c r="C9" s="71">
        <v>519</v>
      </c>
      <c r="D9" s="72">
        <v>245</v>
      </c>
      <c r="E9" s="72">
        <v>11</v>
      </c>
      <c r="F9" s="72">
        <v>156</v>
      </c>
      <c r="G9" s="73">
        <f aca="true" t="shared" si="0" ref="G9:G34">+C9/B9</f>
        <v>24.714285714285715</v>
      </c>
      <c r="H9" s="70"/>
      <c r="I9" s="71"/>
      <c r="J9" s="72"/>
      <c r="K9" s="72"/>
      <c r="L9" s="72"/>
      <c r="M9" s="73"/>
      <c r="N9" s="70">
        <f>B9+H9</f>
        <v>21</v>
      </c>
      <c r="O9" s="71">
        <f aca="true" t="shared" si="1" ref="O9:O33">C9+I9</f>
        <v>519</v>
      </c>
      <c r="P9" s="72">
        <f aca="true" t="shared" si="2" ref="P9:P33">D9+J9</f>
        <v>245</v>
      </c>
      <c r="Q9" s="72">
        <f aca="true" t="shared" si="3" ref="Q9:Q33">E9+K9</f>
        <v>11</v>
      </c>
      <c r="R9" s="72">
        <f aca="true" t="shared" si="4" ref="R9:R33">F9+L9</f>
        <v>156</v>
      </c>
      <c r="S9" s="74">
        <f aca="true" t="shared" si="5" ref="S9:S34">+O9/N9</f>
        <v>24.714285714285715</v>
      </c>
    </row>
    <row r="10" spans="1:19" ht="12">
      <c r="A10" s="69" t="s">
        <v>10</v>
      </c>
      <c r="B10" s="75">
        <f>+B11+B12+B13</f>
        <v>35</v>
      </c>
      <c r="C10" s="75">
        <f>+C11+C12+C13</f>
        <v>865</v>
      </c>
      <c r="D10" s="76">
        <f>+D11+D12+D13</f>
        <v>406</v>
      </c>
      <c r="E10" s="76">
        <f>+E11+E12+E13</f>
        <v>26</v>
      </c>
      <c r="F10" s="76">
        <f>+F11+F12+F13</f>
        <v>267</v>
      </c>
      <c r="G10" s="74">
        <f t="shared" si="0"/>
        <v>24.714285714285715</v>
      </c>
      <c r="H10" s="75">
        <f>SUM(H11:H13)</f>
        <v>16</v>
      </c>
      <c r="I10" s="75">
        <f>SUM(I11:I13)</f>
        <v>382</v>
      </c>
      <c r="J10" s="76">
        <f>SUM(J11:J13)</f>
        <v>175</v>
      </c>
      <c r="K10" s="76">
        <f>SUM(K11:K13)</f>
        <v>10</v>
      </c>
      <c r="L10" s="76">
        <f>SUM(L11:L13)</f>
        <v>203</v>
      </c>
      <c r="M10" s="74">
        <f aca="true" t="shared" si="6" ref="M10:M15">+I10/H10</f>
        <v>23.875</v>
      </c>
      <c r="N10" s="75">
        <f aca="true" t="shared" si="7" ref="N10:N33">B10+H10</f>
        <v>51</v>
      </c>
      <c r="O10" s="75">
        <f t="shared" si="1"/>
        <v>1247</v>
      </c>
      <c r="P10" s="76">
        <f t="shared" si="2"/>
        <v>581</v>
      </c>
      <c r="Q10" s="76">
        <f t="shared" si="3"/>
        <v>36</v>
      </c>
      <c r="R10" s="76">
        <f t="shared" si="4"/>
        <v>470</v>
      </c>
      <c r="S10" s="74">
        <f t="shared" si="5"/>
        <v>24.45098039215686</v>
      </c>
    </row>
    <row r="11" spans="1:19" ht="12">
      <c r="A11" s="77" t="s">
        <v>29</v>
      </c>
      <c r="B11" s="46">
        <v>17</v>
      </c>
      <c r="C11" s="47">
        <v>417</v>
      </c>
      <c r="D11" s="78">
        <v>186</v>
      </c>
      <c r="E11" s="78">
        <v>14</v>
      </c>
      <c r="F11" s="78">
        <v>132</v>
      </c>
      <c r="G11" s="79">
        <f t="shared" si="0"/>
        <v>24.529411764705884</v>
      </c>
      <c r="H11" s="46">
        <v>10</v>
      </c>
      <c r="I11" s="47">
        <v>231</v>
      </c>
      <c r="J11" s="78">
        <v>106</v>
      </c>
      <c r="K11" s="78">
        <v>8</v>
      </c>
      <c r="L11" s="78">
        <v>137</v>
      </c>
      <c r="M11" s="79">
        <f t="shared" si="6"/>
        <v>23.1</v>
      </c>
      <c r="N11" s="46">
        <f t="shared" si="7"/>
        <v>27</v>
      </c>
      <c r="O11" s="47">
        <f t="shared" si="1"/>
        <v>648</v>
      </c>
      <c r="P11" s="78">
        <f t="shared" si="2"/>
        <v>292</v>
      </c>
      <c r="Q11" s="78">
        <f t="shared" si="3"/>
        <v>22</v>
      </c>
      <c r="R11" s="78">
        <f t="shared" si="4"/>
        <v>269</v>
      </c>
      <c r="S11" s="79">
        <f t="shared" si="5"/>
        <v>24</v>
      </c>
    </row>
    <row r="12" spans="1:19" ht="12">
      <c r="A12" s="77" t="s">
        <v>30</v>
      </c>
      <c r="B12" s="46">
        <v>10</v>
      </c>
      <c r="C12" s="47">
        <v>254</v>
      </c>
      <c r="D12" s="78">
        <v>130</v>
      </c>
      <c r="E12" s="78">
        <v>8</v>
      </c>
      <c r="F12" s="78">
        <v>74</v>
      </c>
      <c r="G12" s="79">
        <f t="shared" si="0"/>
        <v>25.4</v>
      </c>
      <c r="H12" s="46">
        <v>4</v>
      </c>
      <c r="I12" s="47">
        <v>104</v>
      </c>
      <c r="J12" s="78">
        <v>44</v>
      </c>
      <c r="K12" s="78">
        <v>1</v>
      </c>
      <c r="L12" s="78">
        <v>47</v>
      </c>
      <c r="M12" s="79">
        <f t="shared" si="6"/>
        <v>26</v>
      </c>
      <c r="N12" s="46">
        <f t="shared" si="7"/>
        <v>14</v>
      </c>
      <c r="O12" s="47">
        <f t="shared" si="1"/>
        <v>358</v>
      </c>
      <c r="P12" s="78">
        <f t="shared" si="2"/>
        <v>174</v>
      </c>
      <c r="Q12" s="78">
        <f t="shared" si="3"/>
        <v>9</v>
      </c>
      <c r="R12" s="78">
        <f t="shared" si="4"/>
        <v>121</v>
      </c>
      <c r="S12" s="79">
        <f t="shared" si="5"/>
        <v>25.571428571428573</v>
      </c>
    </row>
    <row r="13" spans="1:19" ht="12">
      <c r="A13" s="77" t="s">
        <v>31</v>
      </c>
      <c r="B13" s="46">
        <v>8</v>
      </c>
      <c r="C13" s="47">
        <v>194</v>
      </c>
      <c r="D13" s="78">
        <v>90</v>
      </c>
      <c r="E13" s="78">
        <v>4</v>
      </c>
      <c r="F13" s="78">
        <v>61</v>
      </c>
      <c r="G13" s="79">
        <f t="shared" si="0"/>
        <v>24.25</v>
      </c>
      <c r="H13" s="46">
        <v>2</v>
      </c>
      <c r="I13" s="47">
        <v>47</v>
      </c>
      <c r="J13" s="78">
        <v>25</v>
      </c>
      <c r="K13" s="78">
        <v>1</v>
      </c>
      <c r="L13" s="78">
        <v>19</v>
      </c>
      <c r="M13" s="79">
        <f t="shared" si="6"/>
        <v>23.5</v>
      </c>
      <c r="N13" s="46">
        <f t="shared" si="7"/>
        <v>10</v>
      </c>
      <c r="O13" s="47">
        <f t="shared" si="1"/>
        <v>241</v>
      </c>
      <c r="P13" s="78">
        <f t="shared" si="2"/>
        <v>115</v>
      </c>
      <c r="Q13" s="78">
        <f t="shared" si="3"/>
        <v>5</v>
      </c>
      <c r="R13" s="78">
        <f t="shared" si="4"/>
        <v>80</v>
      </c>
      <c r="S13" s="79">
        <f t="shared" si="5"/>
        <v>24.1</v>
      </c>
    </row>
    <row r="14" spans="1:19" ht="12">
      <c r="A14" s="69" t="s">
        <v>11</v>
      </c>
      <c r="B14" s="75">
        <f>SUM(B15:B16)</f>
        <v>19</v>
      </c>
      <c r="C14" s="75">
        <f>SUM(C15:C16)</f>
        <v>463</v>
      </c>
      <c r="D14" s="80">
        <f>SUM(D15:D16)</f>
        <v>221</v>
      </c>
      <c r="E14" s="80">
        <f>SUM(E15:E16)</f>
        <v>9</v>
      </c>
      <c r="F14" s="80">
        <f>SUM(F15:F16)</f>
        <v>143</v>
      </c>
      <c r="G14" s="74">
        <f t="shared" si="0"/>
        <v>24.36842105263158</v>
      </c>
      <c r="H14" s="75">
        <f>SUM(H15:H16)</f>
        <v>6</v>
      </c>
      <c r="I14" s="75">
        <f>SUM(I15:I16)</f>
        <v>150</v>
      </c>
      <c r="J14" s="80">
        <f>SUM(J15:J16)</f>
        <v>77</v>
      </c>
      <c r="K14" s="80">
        <f>SUM(K15:K16)</f>
        <v>2</v>
      </c>
      <c r="L14" s="80">
        <f>SUM(L15:L16)</f>
        <v>43</v>
      </c>
      <c r="M14" s="74">
        <f t="shared" si="6"/>
        <v>25</v>
      </c>
      <c r="N14" s="75">
        <f t="shared" si="7"/>
        <v>25</v>
      </c>
      <c r="O14" s="75">
        <f t="shared" si="1"/>
        <v>613</v>
      </c>
      <c r="P14" s="80">
        <f t="shared" si="2"/>
        <v>298</v>
      </c>
      <c r="Q14" s="80">
        <f t="shared" si="3"/>
        <v>11</v>
      </c>
      <c r="R14" s="80">
        <f t="shared" si="4"/>
        <v>186</v>
      </c>
      <c r="S14" s="74">
        <f t="shared" si="5"/>
        <v>24.52</v>
      </c>
    </row>
    <row r="15" spans="1:19" ht="12">
      <c r="A15" s="77" t="s">
        <v>32</v>
      </c>
      <c r="B15" s="46">
        <v>2</v>
      </c>
      <c r="C15" s="47">
        <v>53</v>
      </c>
      <c r="D15" s="78">
        <v>23</v>
      </c>
      <c r="E15" s="78">
        <v>3</v>
      </c>
      <c r="F15" s="78">
        <v>11</v>
      </c>
      <c r="G15" s="79">
        <f t="shared" si="0"/>
        <v>26.5</v>
      </c>
      <c r="H15" s="46">
        <v>6</v>
      </c>
      <c r="I15" s="47">
        <v>150</v>
      </c>
      <c r="J15" s="78">
        <v>77</v>
      </c>
      <c r="K15" s="78">
        <v>2</v>
      </c>
      <c r="L15" s="78">
        <v>43</v>
      </c>
      <c r="M15" s="79">
        <f t="shared" si="6"/>
        <v>25</v>
      </c>
      <c r="N15" s="46">
        <f t="shared" si="7"/>
        <v>8</v>
      </c>
      <c r="O15" s="47">
        <f t="shared" si="1"/>
        <v>203</v>
      </c>
      <c r="P15" s="78">
        <f t="shared" si="2"/>
        <v>100</v>
      </c>
      <c r="Q15" s="78">
        <f t="shared" si="3"/>
        <v>5</v>
      </c>
      <c r="R15" s="78">
        <f t="shared" si="4"/>
        <v>54</v>
      </c>
      <c r="S15" s="79">
        <f t="shared" si="5"/>
        <v>25.375</v>
      </c>
    </row>
    <row r="16" spans="1:19" ht="12">
      <c r="A16" s="77" t="s">
        <v>33</v>
      </c>
      <c r="B16" s="46">
        <v>17</v>
      </c>
      <c r="C16" s="47">
        <v>410</v>
      </c>
      <c r="D16" s="78">
        <v>198</v>
      </c>
      <c r="E16" s="78">
        <v>6</v>
      </c>
      <c r="F16" s="78">
        <v>132</v>
      </c>
      <c r="G16" s="79">
        <f t="shared" si="0"/>
        <v>24.11764705882353</v>
      </c>
      <c r="H16" s="46"/>
      <c r="I16" s="47"/>
      <c r="J16" s="78"/>
      <c r="K16" s="78"/>
      <c r="L16" s="78"/>
      <c r="M16" s="79"/>
      <c r="N16" s="46">
        <f t="shared" si="7"/>
        <v>17</v>
      </c>
      <c r="O16" s="47">
        <f t="shared" si="1"/>
        <v>410</v>
      </c>
      <c r="P16" s="78">
        <f t="shared" si="2"/>
        <v>198</v>
      </c>
      <c r="Q16" s="78">
        <f t="shared" si="3"/>
        <v>6</v>
      </c>
      <c r="R16" s="78">
        <f t="shared" si="4"/>
        <v>132</v>
      </c>
      <c r="S16" s="79">
        <f t="shared" si="5"/>
        <v>24.11764705882353</v>
      </c>
    </row>
    <row r="17" spans="1:19" ht="12">
      <c r="A17" s="69" t="s">
        <v>12</v>
      </c>
      <c r="B17" s="75">
        <f>SUM(B18:B19)</f>
        <v>22</v>
      </c>
      <c r="C17" s="75">
        <f>SUM(C18:C19)</f>
        <v>553</v>
      </c>
      <c r="D17" s="80">
        <f>SUM(D18:D19)</f>
        <v>259</v>
      </c>
      <c r="E17" s="80">
        <f>SUM(E18:E19)</f>
        <v>13</v>
      </c>
      <c r="F17" s="80">
        <f>SUM(F18:F19)</f>
        <v>131</v>
      </c>
      <c r="G17" s="74">
        <f t="shared" si="0"/>
        <v>25.136363636363637</v>
      </c>
      <c r="H17" s="75">
        <f>SUM(H18:H19)</f>
        <v>4</v>
      </c>
      <c r="I17" s="75">
        <f>SUM(I18:I19)</f>
        <v>96</v>
      </c>
      <c r="J17" s="80">
        <f>SUM(J18:J19)</f>
        <v>45</v>
      </c>
      <c r="K17" s="80">
        <f>SUM(K18:K19)</f>
        <v>1</v>
      </c>
      <c r="L17" s="80">
        <f>SUM(L18:L19)</f>
        <v>46</v>
      </c>
      <c r="M17" s="74">
        <f>+I17/H17</f>
        <v>24</v>
      </c>
      <c r="N17" s="75">
        <f t="shared" si="7"/>
        <v>26</v>
      </c>
      <c r="O17" s="75">
        <f t="shared" si="1"/>
        <v>649</v>
      </c>
      <c r="P17" s="80">
        <f t="shared" si="2"/>
        <v>304</v>
      </c>
      <c r="Q17" s="80">
        <f t="shared" si="3"/>
        <v>14</v>
      </c>
      <c r="R17" s="80">
        <f t="shared" si="4"/>
        <v>177</v>
      </c>
      <c r="S17" s="74">
        <f t="shared" si="5"/>
        <v>24.96153846153846</v>
      </c>
    </row>
    <row r="18" spans="1:19" ht="12">
      <c r="A18" s="77" t="s">
        <v>34</v>
      </c>
      <c r="B18" s="46">
        <v>12</v>
      </c>
      <c r="C18" s="47">
        <v>305</v>
      </c>
      <c r="D18" s="78">
        <v>133</v>
      </c>
      <c r="E18" s="78">
        <v>6</v>
      </c>
      <c r="F18" s="78">
        <v>75</v>
      </c>
      <c r="G18" s="79">
        <f t="shared" si="0"/>
        <v>25.416666666666668</v>
      </c>
      <c r="H18" s="46">
        <v>2</v>
      </c>
      <c r="I18" s="47">
        <v>46</v>
      </c>
      <c r="J18" s="78">
        <v>21</v>
      </c>
      <c r="K18" s="78">
        <v>1</v>
      </c>
      <c r="L18" s="78">
        <v>30</v>
      </c>
      <c r="M18" s="79">
        <f>+I18/H18</f>
        <v>23</v>
      </c>
      <c r="N18" s="46">
        <f t="shared" si="7"/>
        <v>14</v>
      </c>
      <c r="O18" s="47">
        <f t="shared" si="1"/>
        <v>351</v>
      </c>
      <c r="P18" s="78">
        <f t="shared" si="2"/>
        <v>154</v>
      </c>
      <c r="Q18" s="78">
        <f t="shared" si="3"/>
        <v>7</v>
      </c>
      <c r="R18" s="78">
        <f t="shared" si="4"/>
        <v>105</v>
      </c>
      <c r="S18" s="79">
        <f t="shared" si="5"/>
        <v>25.071428571428573</v>
      </c>
    </row>
    <row r="19" spans="1:19" ht="12">
      <c r="A19" s="77" t="s">
        <v>35</v>
      </c>
      <c r="B19" s="46">
        <v>10</v>
      </c>
      <c r="C19" s="47">
        <v>248</v>
      </c>
      <c r="D19" s="78">
        <v>126</v>
      </c>
      <c r="E19" s="78">
        <v>7</v>
      </c>
      <c r="F19" s="78">
        <v>56</v>
      </c>
      <c r="G19" s="79">
        <f t="shared" si="0"/>
        <v>24.8</v>
      </c>
      <c r="H19" s="46">
        <v>2</v>
      </c>
      <c r="I19" s="47">
        <v>50</v>
      </c>
      <c r="J19" s="78">
        <v>24</v>
      </c>
      <c r="K19" s="78">
        <v>0</v>
      </c>
      <c r="L19" s="78">
        <v>16</v>
      </c>
      <c r="M19" s="79"/>
      <c r="N19" s="46">
        <f t="shared" si="7"/>
        <v>12</v>
      </c>
      <c r="O19" s="47">
        <f t="shared" si="1"/>
        <v>298</v>
      </c>
      <c r="P19" s="78">
        <f t="shared" si="2"/>
        <v>150</v>
      </c>
      <c r="Q19" s="78">
        <f t="shared" si="3"/>
        <v>7</v>
      </c>
      <c r="R19" s="78">
        <f t="shared" si="4"/>
        <v>72</v>
      </c>
      <c r="S19" s="79">
        <f t="shared" si="5"/>
        <v>24.833333333333332</v>
      </c>
    </row>
    <row r="20" spans="1:21" ht="12">
      <c r="A20" s="69" t="s">
        <v>36</v>
      </c>
      <c r="B20" s="70">
        <v>16</v>
      </c>
      <c r="C20" s="71">
        <v>389</v>
      </c>
      <c r="D20" s="72">
        <v>183</v>
      </c>
      <c r="E20" s="72">
        <v>13</v>
      </c>
      <c r="F20" s="72">
        <v>130</v>
      </c>
      <c r="G20" s="73">
        <f t="shared" si="0"/>
        <v>24.3125</v>
      </c>
      <c r="H20" s="70">
        <v>12</v>
      </c>
      <c r="I20" s="71">
        <v>282</v>
      </c>
      <c r="J20" s="72">
        <v>127</v>
      </c>
      <c r="K20" s="72">
        <v>5</v>
      </c>
      <c r="L20" s="72">
        <v>118</v>
      </c>
      <c r="M20" s="73">
        <f>+I20/H20</f>
        <v>23.5</v>
      </c>
      <c r="N20" s="70">
        <f t="shared" si="7"/>
        <v>28</v>
      </c>
      <c r="O20" s="71">
        <f t="shared" si="1"/>
        <v>671</v>
      </c>
      <c r="P20" s="72">
        <f t="shared" si="2"/>
        <v>310</v>
      </c>
      <c r="Q20" s="72">
        <f t="shared" si="3"/>
        <v>18</v>
      </c>
      <c r="R20" s="72">
        <f t="shared" si="4"/>
        <v>248</v>
      </c>
      <c r="S20" s="74">
        <f t="shared" si="5"/>
        <v>23.964285714285715</v>
      </c>
      <c r="U20" s="22"/>
    </row>
    <row r="21" spans="1:19" ht="12">
      <c r="A21" s="69" t="s">
        <v>37</v>
      </c>
      <c r="B21" s="81">
        <f>SUM(B22:B24)</f>
        <v>30</v>
      </c>
      <c r="C21" s="81">
        <f>SUM(C22:C24)</f>
        <v>711</v>
      </c>
      <c r="D21" s="82">
        <f>SUM(D22:D24)</f>
        <v>342</v>
      </c>
      <c r="E21" s="82">
        <f>SUM(E22:E24)</f>
        <v>16</v>
      </c>
      <c r="F21" s="82">
        <f>SUM(F22:F24)</f>
        <v>91</v>
      </c>
      <c r="G21" s="74">
        <f t="shared" si="0"/>
        <v>23.7</v>
      </c>
      <c r="H21" s="81">
        <f>SUM(H22:H24)</f>
        <v>5</v>
      </c>
      <c r="I21" s="81">
        <f>SUM(I22:I24)</f>
        <v>123</v>
      </c>
      <c r="J21" s="82">
        <f>SUM(J22:J24)</f>
        <v>61</v>
      </c>
      <c r="K21" s="82">
        <f>SUM(K22:K24)</f>
        <v>3</v>
      </c>
      <c r="L21" s="82">
        <f>SUM(L22:L24)</f>
        <v>28</v>
      </c>
      <c r="M21" s="74">
        <f>+I21/H21</f>
        <v>24.6</v>
      </c>
      <c r="N21" s="81">
        <f t="shared" si="7"/>
        <v>35</v>
      </c>
      <c r="O21" s="81">
        <f t="shared" si="1"/>
        <v>834</v>
      </c>
      <c r="P21" s="82">
        <f t="shared" si="2"/>
        <v>403</v>
      </c>
      <c r="Q21" s="82">
        <f t="shared" si="3"/>
        <v>19</v>
      </c>
      <c r="R21" s="82">
        <f t="shared" si="4"/>
        <v>119</v>
      </c>
      <c r="S21" s="74">
        <f t="shared" si="5"/>
        <v>23.82857142857143</v>
      </c>
    </row>
    <row r="22" spans="1:21" ht="12.75">
      <c r="A22" s="77" t="s">
        <v>38</v>
      </c>
      <c r="B22" s="46">
        <v>7</v>
      </c>
      <c r="C22" s="47">
        <v>162</v>
      </c>
      <c r="D22" s="78">
        <v>75</v>
      </c>
      <c r="E22" s="78">
        <v>2</v>
      </c>
      <c r="F22" s="78">
        <v>15</v>
      </c>
      <c r="G22" s="79">
        <f t="shared" si="0"/>
        <v>23.142857142857142</v>
      </c>
      <c r="H22" s="46"/>
      <c r="I22" s="47"/>
      <c r="J22" s="78"/>
      <c r="K22" s="78"/>
      <c r="L22" s="78"/>
      <c r="M22" s="79"/>
      <c r="N22" s="83">
        <f t="shared" si="7"/>
        <v>7</v>
      </c>
      <c r="O22" s="84">
        <f t="shared" si="1"/>
        <v>162</v>
      </c>
      <c r="P22" s="78">
        <f t="shared" si="2"/>
        <v>75</v>
      </c>
      <c r="Q22" s="78">
        <f t="shared" si="3"/>
        <v>2</v>
      </c>
      <c r="R22" s="78">
        <f t="shared" si="4"/>
        <v>15</v>
      </c>
      <c r="S22" s="79">
        <f t="shared" si="5"/>
        <v>23.142857142857142</v>
      </c>
      <c r="U22" s="22"/>
    </row>
    <row r="23" spans="1:19" ht="12">
      <c r="A23" s="77" t="s">
        <v>39</v>
      </c>
      <c r="B23" s="46">
        <v>8</v>
      </c>
      <c r="C23" s="47">
        <v>194</v>
      </c>
      <c r="D23" s="78">
        <v>102</v>
      </c>
      <c r="E23" s="78">
        <v>5</v>
      </c>
      <c r="F23" s="78">
        <v>23</v>
      </c>
      <c r="G23" s="79">
        <f t="shared" si="0"/>
        <v>24.25</v>
      </c>
      <c r="H23" s="46"/>
      <c r="I23" s="47"/>
      <c r="J23" s="78"/>
      <c r="K23" s="78"/>
      <c r="L23" s="78"/>
      <c r="M23" s="79"/>
      <c r="N23" s="85">
        <f t="shared" si="7"/>
        <v>8</v>
      </c>
      <c r="O23" s="84">
        <f t="shared" si="1"/>
        <v>194</v>
      </c>
      <c r="P23" s="78">
        <f t="shared" si="2"/>
        <v>102</v>
      </c>
      <c r="Q23" s="78">
        <f t="shared" si="3"/>
        <v>5</v>
      </c>
      <c r="R23" s="78">
        <f t="shared" si="4"/>
        <v>23</v>
      </c>
      <c r="S23" s="79">
        <f t="shared" si="5"/>
        <v>24.25</v>
      </c>
    </row>
    <row r="24" spans="1:19" ht="12">
      <c r="A24" s="77" t="s">
        <v>40</v>
      </c>
      <c r="B24" s="46">
        <v>15</v>
      </c>
      <c r="C24" s="47">
        <v>355</v>
      </c>
      <c r="D24" s="78">
        <v>165</v>
      </c>
      <c r="E24" s="78">
        <v>9</v>
      </c>
      <c r="F24" s="78">
        <v>53</v>
      </c>
      <c r="G24" s="79">
        <f t="shared" si="0"/>
        <v>23.666666666666668</v>
      </c>
      <c r="H24" s="46">
        <v>5</v>
      </c>
      <c r="I24" s="47">
        <v>123</v>
      </c>
      <c r="J24" s="78">
        <v>61</v>
      </c>
      <c r="K24" s="78">
        <v>3</v>
      </c>
      <c r="L24" s="78">
        <v>28</v>
      </c>
      <c r="M24" s="79">
        <f>+I24/H24</f>
        <v>24.6</v>
      </c>
      <c r="N24" s="84">
        <f t="shared" si="7"/>
        <v>20</v>
      </c>
      <c r="O24" s="47">
        <f t="shared" si="1"/>
        <v>478</v>
      </c>
      <c r="P24" s="78">
        <f t="shared" si="2"/>
        <v>226</v>
      </c>
      <c r="Q24" s="78">
        <f t="shared" si="3"/>
        <v>12</v>
      </c>
      <c r="R24" s="78">
        <f t="shared" si="4"/>
        <v>81</v>
      </c>
      <c r="S24" s="79">
        <f t="shared" si="5"/>
        <v>23.9</v>
      </c>
    </row>
    <row r="25" spans="1:19" ht="12">
      <c r="A25" s="69" t="s">
        <v>41</v>
      </c>
      <c r="B25" s="75">
        <f>SUM(B26:B27)</f>
        <v>19</v>
      </c>
      <c r="C25" s="75">
        <f>SUM(C26:C27)</f>
        <v>463</v>
      </c>
      <c r="D25" s="80">
        <f>SUM(D26:D27)</f>
        <v>217</v>
      </c>
      <c r="E25" s="80">
        <f>SUM(E26:E27)</f>
        <v>13</v>
      </c>
      <c r="F25" s="80">
        <f>SUM(F26:F27)</f>
        <v>86</v>
      </c>
      <c r="G25" s="74">
        <f t="shared" si="0"/>
        <v>24.36842105263158</v>
      </c>
      <c r="H25" s="75">
        <f>SUM(H26:H27)</f>
        <v>14</v>
      </c>
      <c r="I25" s="75">
        <f>SUM(I26:I27)</f>
        <v>324</v>
      </c>
      <c r="J25" s="80">
        <f>SUM(J26:J27)</f>
        <v>154</v>
      </c>
      <c r="K25" s="80">
        <f>SUM(K26:K27)</f>
        <v>3</v>
      </c>
      <c r="L25" s="80">
        <f>SUM(L26:L27)</f>
        <v>119</v>
      </c>
      <c r="M25" s="74">
        <f>+I25/H25</f>
        <v>23.142857142857142</v>
      </c>
      <c r="N25" s="75">
        <f t="shared" si="7"/>
        <v>33</v>
      </c>
      <c r="O25" s="75">
        <f t="shared" si="1"/>
        <v>787</v>
      </c>
      <c r="P25" s="80">
        <f t="shared" si="2"/>
        <v>371</v>
      </c>
      <c r="Q25" s="80">
        <f t="shared" si="3"/>
        <v>16</v>
      </c>
      <c r="R25" s="80">
        <f t="shared" si="4"/>
        <v>205</v>
      </c>
      <c r="S25" s="74">
        <f t="shared" si="5"/>
        <v>23.848484848484848</v>
      </c>
    </row>
    <row r="26" spans="1:19" ht="12">
      <c r="A26" s="46" t="s">
        <v>42</v>
      </c>
      <c r="B26" s="46">
        <v>9</v>
      </c>
      <c r="C26" s="47">
        <v>219</v>
      </c>
      <c r="D26" s="78">
        <v>102</v>
      </c>
      <c r="E26" s="78">
        <v>9</v>
      </c>
      <c r="F26" s="78">
        <v>42</v>
      </c>
      <c r="G26" s="79">
        <f t="shared" si="0"/>
        <v>24.333333333333332</v>
      </c>
      <c r="H26" s="46"/>
      <c r="I26" s="47"/>
      <c r="J26" s="78"/>
      <c r="K26" s="78"/>
      <c r="L26" s="78"/>
      <c r="M26" s="79"/>
      <c r="N26" s="46">
        <f t="shared" si="7"/>
        <v>9</v>
      </c>
      <c r="O26" s="47">
        <f t="shared" si="1"/>
        <v>219</v>
      </c>
      <c r="P26" s="78">
        <f t="shared" si="2"/>
        <v>102</v>
      </c>
      <c r="Q26" s="78">
        <f t="shared" si="3"/>
        <v>9</v>
      </c>
      <c r="R26" s="78">
        <f t="shared" si="4"/>
        <v>42</v>
      </c>
      <c r="S26" s="79">
        <f t="shared" si="5"/>
        <v>24.333333333333332</v>
      </c>
    </row>
    <row r="27" spans="1:19" ht="12">
      <c r="A27" s="77" t="s">
        <v>43</v>
      </c>
      <c r="B27" s="46">
        <v>10</v>
      </c>
      <c r="C27" s="47">
        <v>244</v>
      </c>
      <c r="D27" s="78">
        <v>115</v>
      </c>
      <c r="E27" s="78">
        <v>4</v>
      </c>
      <c r="F27" s="78">
        <v>44</v>
      </c>
      <c r="G27" s="79">
        <f t="shared" si="0"/>
        <v>24.4</v>
      </c>
      <c r="H27" s="46">
        <v>14</v>
      </c>
      <c r="I27" s="47">
        <v>324</v>
      </c>
      <c r="J27" s="78">
        <v>154</v>
      </c>
      <c r="K27" s="78">
        <v>3</v>
      </c>
      <c r="L27" s="78">
        <v>119</v>
      </c>
      <c r="M27" s="79">
        <f>+I27/H27</f>
        <v>23.142857142857142</v>
      </c>
      <c r="N27" s="46">
        <f t="shared" si="7"/>
        <v>24</v>
      </c>
      <c r="O27" s="47">
        <f t="shared" si="1"/>
        <v>568</v>
      </c>
      <c r="P27" s="78">
        <f t="shared" si="2"/>
        <v>269</v>
      </c>
      <c r="Q27" s="78">
        <f t="shared" si="3"/>
        <v>7</v>
      </c>
      <c r="R27" s="78">
        <f t="shared" si="4"/>
        <v>163</v>
      </c>
      <c r="S27" s="79">
        <f t="shared" si="5"/>
        <v>23.666666666666668</v>
      </c>
    </row>
    <row r="28" spans="1:19" ht="12">
      <c r="A28" s="69" t="s">
        <v>16</v>
      </c>
      <c r="B28" s="75">
        <f>SUM(B29:B30)</f>
        <v>26</v>
      </c>
      <c r="C28" s="75">
        <f>SUM(C29:C30)</f>
        <v>623</v>
      </c>
      <c r="D28" s="80">
        <f>SUM(D29:D30)</f>
        <v>309</v>
      </c>
      <c r="E28" s="80">
        <f>SUM(E29:E30)</f>
        <v>12</v>
      </c>
      <c r="F28" s="80">
        <f>SUM(F29:F30)</f>
        <v>118</v>
      </c>
      <c r="G28" s="74">
        <f t="shared" si="0"/>
        <v>23.96153846153846</v>
      </c>
      <c r="H28" s="75">
        <f>SUM(H29:H30)</f>
        <v>2</v>
      </c>
      <c r="I28" s="75">
        <f>SUM(I29:I30)</f>
        <v>50</v>
      </c>
      <c r="J28" s="80">
        <f>SUM(J29:J30)</f>
        <v>18</v>
      </c>
      <c r="K28" s="80">
        <f>SUM(K29:K30)</f>
        <v>0</v>
      </c>
      <c r="L28" s="80">
        <f>SUM(L29:L30)</f>
        <v>16</v>
      </c>
      <c r="M28" s="74">
        <f>+I28/H28</f>
        <v>25</v>
      </c>
      <c r="N28" s="75">
        <f t="shared" si="7"/>
        <v>28</v>
      </c>
      <c r="O28" s="75">
        <f t="shared" si="1"/>
        <v>673</v>
      </c>
      <c r="P28" s="80">
        <f t="shared" si="2"/>
        <v>327</v>
      </c>
      <c r="Q28" s="80">
        <f t="shared" si="3"/>
        <v>12</v>
      </c>
      <c r="R28" s="80">
        <f t="shared" si="4"/>
        <v>134</v>
      </c>
      <c r="S28" s="74">
        <f t="shared" si="5"/>
        <v>24.035714285714285</v>
      </c>
    </row>
    <row r="29" spans="1:19" ht="12">
      <c r="A29" s="77" t="s">
        <v>44</v>
      </c>
      <c r="B29" s="46">
        <v>19</v>
      </c>
      <c r="C29" s="47">
        <v>462</v>
      </c>
      <c r="D29" s="78">
        <v>225</v>
      </c>
      <c r="E29" s="78">
        <v>7</v>
      </c>
      <c r="F29" s="78">
        <v>65</v>
      </c>
      <c r="G29" s="79">
        <f t="shared" si="0"/>
        <v>24.31578947368421</v>
      </c>
      <c r="H29" s="46"/>
      <c r="I29" s="47"/>
      <c r="J29" s="78"/>
      <c r="K29" s="78"/>
      <c r="L29" s="78"/>
      <c r="M29" s="79"/>
      <c r="N29" s="46">
        <f t="shared" si="7"/>
        <v>19</v>
      </c>
      <c r="O29" s="47">
        <f t="shared" si="1"/>
        <v>462</v>
      </c>
      <c r="P29" s="78">
        <f t="shared" si="2"/>
        <v>225</v>
      </c>
      <c r="Q29" s="78">
        <f t="shared" si="3"/>
        <v>7</v>
      </c>
      <c r="R29" s="78">
        <f t="shared" si="4"/>
        <v>65</v>
      </c>
      <c r="S29" s="79">
        <f t="shared" si="5"/>
        <v>24.31578947368421</v>
      </c>
    </row>
    <row r="30" spans="1:19" ht="12">
      <c r="A30" s="77" t="s">
        <v>45</v>
      </c>
      <c r="B30" s="46">
        <v>7</v>
      </c>
      <c r="C30" s="47">
        <v>161</v>
      </c>
      <c r="D30" s="78">
        <v>84</v>
      </c>
      <c r="E30" s="78">
        <v>5</v>
      </c>
      <c r="F30" s="78">
        <v>53</v>
      </c>
      <c r="G30" s="79">
        <f t="shared" si="0"/>
        <v>23</v>
      </c>
      <c r="H30" s="46">
        <v>2</v>
      </c>
      <c r="I30" s="47">
        <v>50</v>
      </c>
      <c r="J30" s="78">
        <v>18</v>
      </c>
      <c r="K30" s="78">
        <v>0</v>
      </c>
      <c r="L30" s="78">
        <v>16</v>
      </c>
      <c r="M30" s="79">
        <f>+I30/H30</f>
        <v>25</v>
      </c>
      <c r="N30" s="46">
        <f t="shared" si="7"/>
        <v>9</v>
      </c>
      <c r="O30" s="47">
        <f t="shared" si="1"/>
        <v>211</v>
      </c>
      <c r="P30" s="78">
        <f t="shared" si="2"/>
        <v>102</v>
      </c>
      <c r="Q30" s="78">
        <f t="shared" si="3"/>
        <v>5</v>
      </c>
      <c r="R30" s="78">
        <f t="shared" si="4"/>
        <v>69</v>
      </c>
      <c r="S30" s="79">
        <f t="shared" si="5"/>
        <v>23.444444444444443</v>
      </c>
    </row>
    <row r="31" spans="1:19" ht="12">
      <c r="A31" s="69" t="s">
        <v>17</v>
      </c>
      <c r="B31" s="75">
        <f>SUM(B32:B33)</f>
        <v>24</v>
      </c>
      <c r="C31" s="75">
        <f>SUM(C32:C33)</f>
        <v>609</v>
      </c>
      <c r="D31" s="80">
        <f>SUM(D32:D33)</f>
        <v>299</v>
      </c>
      <c r="E31" s="80">
        <f>SUM(E32:E33)</f>
        <v>11</v>
      </c>
      <c r="F31" s="80">
        <f>SUM(F32:F33)</f>
        <v>38</v>
      </c>
      <c r="G31" s="74">
        <f t="shared" si="0"/>
        <v>25.375</v>
      </c>
      <c r="H31" s="75">
        <f>SUM(H32:H33)</f>
        <v>17</v>
      </c>
      <c r="I31" s="75">
        <f>SUM(I32:I33)</f>
        <v>409</v>
      </c>
      <c r="J31" s="80">
        <f>SUM(J32:J33)</f>
        <v>184</v>
      </c>
      <c r="K31" s="80">
        <f>SUM(K32:K33)</f>
        <v>2</v>
      </c>
      <c r="L31" s="80">
        <f>SUM(L32:L33)</f>
        <v>29</v>
      </c>
      <c r="M31" s="74">
        <f>+I31/H31</f>
        <v>24.058823529411764</v>
      </c>
      <c r="N31" s="75">
        <f t="shared" si="7"/>
        <v>41</v>
      </c>
      <c r="O31" s="75">
        <f t="shared" si="1"/>
        <v>1018</v>
      </c>
      <c r="P31" s="80">
        <f t="shared" si="2"/>
        <v>483</v>
      </c>
      <c r="Q31" s="80">
        <f t="shared" si="3"/>
        <v>13</v>
      </c>
      <c r="R31" s="80">
        <f t="shared" si="4"/>
        <v>67</v>
      </c>
      <c r="S31" s="74">
        <f t="shared" si="5"/>
        <v>24.829268292682926</v>
      </c>
    </row>
    <row r="32" spans="1:19" ht="12">
      <c r="A32" s="86" t="s">
        <v>46</v>
      </c>
      <c r="B32" s="46">
        <v>17</v>
      </c>
      <c r="C32" s="47">
        <v>432</v>
      </c>
      <c r="D32" s="78">
        <v>217</v>
      </c>
      <c r="E32" s="78">
        <v>6</v>
      </c>
      <c r="F32" s="78">
        <v>31</v>
      </c>
      <c r="G32" s="79">
        <f t="shared" si="0"/>
        <v>25.41176470588235</v>
      </c>
      <c r="H32" s="46">
        <v>11</v>
      </c>
      <c r="I32" s="47">
        <v>261</v>
      </c>
      <c r="J32" s="78">
        <v>110</v>
      </c>
      <c r="K32" s="78">
        <v>2</v>
      </c>
      <c r="L32" s="78">
        <v>19</v>
      </c>
      <c r="M32" s="79">
        <f>+I32/H32</f>
        <v>23.727272727272727</v>
      </c>
      <c r="N32" s="46">
        <f t="shared" si="7"/>
        <v>28</v>
      </c>
      <c r="O32" s="47">
        <f t="shared" si="1"/>
        <v>693</v>
      </c>
      <c r="P32" s="78">
        <f t="shared" si="2"/>
        <v>327</v>
      </c>
      <c r="Q32" s="78">
        <f t="shared" si="3"/>
        <v>8</v>
      </c>
      <c r="R32" s="78">
        <f t="shared" si="4"/>
        <v>50</v>
      </c>
      <c r="S32" s="79">
        <f t="shared" si="5"/>
        <v>24.75</v>
      </c>
    </row>
    <row r="33" spans="1:19" ht="12">
      <c r="A33" s="86" t="s">
        <v>47</v>
      </c>
      <c r="B33" s="46">
        <v>7</v>
      </c>
      <c r="C33" s="47">
        <v>177</v>
      </c>
      <c r="D33" s="78">
        <v>82</v>
      </c>
      <c r="E33" s="78">
        <v>5</v>
      </c>
      <c r="F33" s="78">
        <v>7</v>
      </c>
      <c r="G33" s="87">
        <f t="shared" si="0"/>
        <v>25.285714285714285</v>
      </c>
      <c r="H33" s="46">
        <v>6</v>
      </c>
      <c r="I33" s="47">
        <v>148</v>
      </c>
      <c r="J33" s="78">
        <v>74</v>
      </c>
      <c r="K33" s="78">
        <v>0</v>
      </c>
      <c r="L33" s="78">
        <v>10</v>
      </c>
      <c r="M33" s="87">
        <f>+I33/H33</f>
        <v>24.666666666666668</v>
      </c>
      <c r="N33" s="48">
        <f t="shared" si="7"/>
        <v>13</v>
      </c>
      <c r="O33" s="47">
        <f t="shared" si="1"/>
        <v>325</v>
      </c>
      <c r="P33" s="88">
        <f t="shared" si="2"/>
        <v>156</v>
      </c>
      <c r="Q33" s="88">
        <f t="shared" si="3"/>
        <v>5</v>
      </c>
      <c r="R33" s="88">
        <f t="shared" si="4"/>
        <v>17</v>
      </c>
      <c r="S33" s="87">
        <f t="shared" si="5"/>
        <v>25</v>
      </c>
    </row>
    <row r="34" spans="1:19" ht="12">
      <c r="A34" s="89" t="s">
        <v>48</v>
      </c>
      <c r="B34" s="90">
        <f>+B9+B10+B14+B17+B20+B21+B25+B28+B31</f>
        <v>212</v>
      </c>
      <c r="C34" s="91">
        <f>+C9+C10+C14+C17+C20+C21+C25+C28+C31</f>
        <v>5195</v>
      </c>
      <c r="D34" s="92">
        <f>+D9+D10+D14+D17+D20+D21+D25+D28+D31</f>
        <v>2481</v>
      </c>
      <c r="E34" s="93">
        <f>+E9+E10+E14+E17+E20+E21+E25+E28+E31</f>
        <v>124</v>
      </c>
      <c r="F34" s="93">
        <f>+F9+F10+F14+F17+F20+F21+F25+F28+F31</f>
        <v>1160</v>
      </c>
      <c r="G34" s="94">
        <f t="shared" si="0"/>
        <v>24.504716981132077</v>
      </c>
      <c r="H34" s="90">
        <f>+H9+H10+H14+H17+H20+H21+H25+H28+H31</f>
        <v>76</v>
      </c>
      <c r="I34" s="91">
        <f>+I10+I14+I17+I20+I21+I25+I28+I31</f>
        <v>1816</v>
      </c>
      <c r="J34" s="92">
        <f>+J10+J14+J17+J20+J21+J25+J28+J31</f>
        <v>841</v>
      </c>
      <c r="K34" s="95">
        <f>+K10+K14+K17+K20+K21+K25+K28+K31</f>
        <v>26</v>
      </c>
      <c r="L34" s="95">
        <f>+L10+L14+L17+L20+L21+L25+L28+L31</f>
        <v>602</v>
      </c>
      <c r="M34" s="96">
        <f>+I34/H34</f>
        <v>23.894736842105264</v>
      </c>
      <c r="N34" s="90">
        <f>H34+B34</f>
        <v>288</v>
      </c>
      <c r="O34" s="91">
        <f>I34+C34</f>
        <v>7011</v>
      </c>
      <c r="P34" s="92">
        <f>J34+D34</f>
        <v>3322</v>
      </c>
      <c r="Q34" s="93">
        <f>K34+E34</f>
        <v>150</v>
      </c>
      <c r="R34" s="93">
        <f>L34+F34</f>
        <v>1762</v>
      </c>
      <c r="S34" s="94">
        <f t="shared" si="5"/>
        <v>24.34375</v>
      </c>
    </row>
    <row r="35" spans="1:19" ht="12">
      <c r="A35" s="97" t="s">
        <v>89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4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97" t="s">
        <v>85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97" t="s">
        <v>90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1:19" ht="12">
      <c r="A41" s="97" t="s">
        <v>91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1:19" ht="12">
      <c r="A43" s="97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</sheetData>
  <sheetProtection/>
  <mergeCells count="7">
    <mergeCell ref="C5:G5"/>
    <mergeCell ref="I5:M5"/>
    <mergeCell ref="O5:S5"/>
    <mergeCell ref="B3:S3"/>
    <mergeCell ref="B4:G4"/>
    <mergeCell ref="H4:M4"/>
    <mergeCell ref="N4:S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&amp;R400042.xls</oddHeader>
    <oddFooter>&amp;LComune di Bologna - Dipartimento Programmazione</oddFooter>
  </headerFooter>
  <ignoredErrors>
    <ignoredError sqref="B10:S13 B19:F34 Q17:S18 B14:F16 H14:S16 H19:S34 G9 N9:S9" unlockedFormula="1"/>
    <ignoredError sqref="D8:S8 P1" numberStoredAsText="1"/>
    <ignoredError sqref="B17:F18 H17:P18 G19:G34 G14:G16 G17:G18" formulaRange="1" unlockedFormula="1"/>
    <ignoredError sqref="G19:G34 G14:G16" formula="1" unlockedFormula="1"/>
    <ignoredError sqref="G17:G18" formula="1" formulaRange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96" zoomScaleNormal="96" zoomScalePageLayoutView="0" workbookViewId="0" topLeftCell="A1">
      <selection activeCell="Q1" sqref="Q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6.253906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O1" s="49"/>
      <c r="P1" s="49"/>
      <c r="Q1" s="51" t="s">
        <v>25</v>
      </c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81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0">
        <v>19</v>
      </c>
      <c r="C9" s="71">
        <v>468</v>
      </c>
      <c r="D9" s="72">
        <v>218</v>
      </c>
      <c r="E9" s="72">
        <v>14</v>
      </c>
      <c r="F9" s="72">
        <v>134</v>
      </c>
      <c r="G9" s="74">
        <f aca="true" t="shared" si="0" ref="G9:G34">+C9/B9</f>
        <v>24.63157894736842</v>
      </c>
      <c r="H9" s="75"/>
      <c r="I9" s="72"/>
      <c r="J9" s="76"/>
      <c r="K9" s="80"/>
      <c r="L9" s="80"/>
      <c r="M9" s="166"/>
      <c r="N9" s="70">
        <f>B9+H9</f>
        <v>19</v>
      </c>
      <c r="O9" s="71">
        <f aca="true" t="shared" si="1" ref="O9:R33">C9+I9</f>
        <v>468</v>
      </c>
      <c r="P9" s="72">
        <f t="shared" si="1"/>
        <v>218</v>
      </c>
      <c r="Q9" s="72">
        <f t="shared" si="1"/>
        <v>14</v>
      </c>
      <c r="R9" s="72">
        <f t="shared" si="1"/>
        <v>134</v>
      </c>
      <c r="S9" s="74">
        <f aca="true" t="shared" si="2" ref="S9:S34">+O9/N9</f>
        <v>24.63157894736842</v>
      </c>
    </row>
    <row r="10" spans="1:19" ht="12">
      <c r="A10" s="69" t="s">
        <v>10</v>
      </c>
      <c r="B10" s="75">
        <f>+B11+B12+B13</f>
        <v>39</v>
      </c>
      <c r="C10" s="75">
        <f>+C11+C12+C13</f>
        <v>961</v>
      </c>
      <c r="D10" s="76">
        <f>+D11+D12+D13</f>
        <v>438</v>
      </c>
      <c r="E10" s="76">
        <f>+E11+E12+E13</f>
        <v>30</v>
      </c>
      <c r="F10" s="76">
        <f>+F11+F12+F13</f>
        <v>312</v>
      </c>
      <c r="G10" s="74">
        <f t="shared" si="0"/>
        <v>24.641025641025642</v>
      </c>
      <c r="H10" s="75">
        <f>SUM(H11:H13)</f>
        <v>11</v>
      </c>
      <c r="I10" s="99">
        <f>SUM(I11:I13)</f>
        <v>265</v>
      </c>
      <c r="J10" s="76">
        <f>SUM(J11:J13)</f>
        <v>132</v>
      </c>
      <c r="K10" s="76">
        <f>SUM(K11:K13)</f>
        <v>2</v>
      </c>
      <c r="L10" s="76">
        <f>SUM(L11:L13)</f>
        <v>94</v>
      </c>
      <c r="M10" s="166">
        <f aca="true" t="shared" si="3" ref="M10:M15">+I10/H10</f>
        <v>24.09090909090909</v>
      </c>
      <c r="N10" s="75">
        <f aca="true" t="shared" si="4" ref="N10:N33">B10+H10</f>
        <v>50</v>
      </c>
      <c r="O10" s="75">
        <f t="shared" si="1"/>
        <v>1226</v>
      </c>
      <c r="P10" s="76">
        <f t="shared" si="1"/>
        <v>570</v>
      </c>
      <c r="Q10" s="76">
        <f t="shared" si="1"/>
        <v>32</v>
      </c>
      <c r="R10" s="76">
        <f t="shared" si="1"/>
        <v>406</v>
      </c>
      <c r="S10" s="74">
        <f t="shared" si="2"/>
        <v>24.52</v>
      </c>
    </row>
    <row r="11" spans="1:19" ht="12">
      <c r="A11" s="77" t="s">
        <v>29</v>
      </c>
      <c r="B11" s="46">
        <v>21</v>
      </c>
      <c r="C11" s="47">
        <v>513</v>
      </c>
      <c r="D11" s="78">
        <v>231</v>
      </c>
      <c r="E11" s="78">
        <v>17</v>
      </c>
      <c r="F11" s="78">
        <v>198</v>
      </c>
      <c r="G11" s="79">
        <f t="shared" si="0"/>
        <v>24.428571428571427</v>
      </c>
      <c r="H11" s="46">
        <v>5</v>
      </c>
      <c r="I11" s="47">
        <v>114</v>
      </c>
      <c r="J11" s="177">
        <v>60</v>
      </c>
      <c r="K11" s="177">
        <v>1</v>
      </c>
      <c r="L11" s="177">
        <v>34</v>
      </c>
      <c r="M11" s="162">
        <f t="shared" si="3"/>
        <v>22.8</v>
      </c>
      <c r="N11" s="46">
        <f t="shared" si="4"/>
        <v>26</v>
      </c>
      <c r="O11" s="47">
        <f t="shared" si="1"/>
        <v>627</v>
      </c>
      <c r="P11" s="78">
        <f t="shared" si="1"/>
        <v>291</v>
      </c>
      <c r="Q11" s="78">
        <f t="shared" si="1"/>
        <v>18</v>
      </c>
      <c r="R11" s="78">
        <f t="shared" si="1"/>
        <v>232</v>
      </c>
      <c r="S11" s="79">
        <f t="shared" si="2"/>
        <v>24.115384615384617</v>
      </c>
    </row>
    <row r="12" spans="1:19" ht="12">
      <c r="A12" s="77" t="s">
        <v>30</v>
      </c>
      <c r="B12" s="46">
        <v>10</v>
      </c>
      <c r="C12" s="47">
        <v>254</v>
      </c>
      <c r="D12" s="78">
        <v>120</v>
      </c>
      <c r="E12" s="78">
        <v>7</v>
      </c>
      <c r="F12" s="78">
        <v>58</v>
      </c>
      <c r="G12" s="79">
        <f t="shared" si="0"/>
        <v>25.4</v>
      </c>
      <c r="H12" s="46">
        <v>4</v>
      </c>
      <c r="I12" s="47">
        <v>103</v>
      </c>
      <c r="J12" s="177">
        <v>50</v>
      </c>
      <c r="K12" s="177">
        <v>0</v>
      </c>
      <c r="L12" s="177">
        <v>36</v>
      </c>
      <c r="M12" s="162">
        <f t="shared" si="3"/>
        <v>25.75</v>
      </c>
      <c r="N12" s="46">
        <f t="shared" si="4"/>
        <v>14</v>
      </c>
      <c r="O12" s="47">
        <f t="shared" si="1"/>
        <v>357</v>
      </c>
      <c r="P12" s="78">
        <f t="shared" si="1"/>
        <v>170</v>
      </c>
      <c r="Q12" s="78">
        <f t="shared" si="1"/>
        <v>7</v>
      </c>
      <c r="R12" s="78">
        <f t="shared" si="1"/>
        <v>94</v>
      </c>
      <c r="S12" s="79">
        <f t="shared" si="2"/>
        <v>25.5</v>
      </c>
    </row>
    <row r="13" spans="1:19" ht="12">
      <c r="A13" s="77" t="s">
        <v>31</v>
      </c>
      <c r="B13" s="46">
        <v>8</v>
      </c>
      <c r="C13" s="47">
        <v>194</v>
      </c>
      <c r="D13" s="78">
        <v>87</v>
      </c>
      <c r="E13" s="78">
        <v>6</v>
      </c>
      <c r="F13" s="78">
        <v>56</v>
      </c>
      <c r="G13" s="79">
        <f t="shared" si="0"/>
        <v>24.25</v>
      </c>
      <c r="H13" s="123">
        <v>2</v>
      </c>
      <c r="I13" s="78">
        <v>48</v>
      </c>
      <c r="J13" s="175">
        <v>22</v>
      </c>
      <c r="K13" s="153">
        <v>1</v>
      </c>
      <c r="L13" s="153">
        <v>24</v>
      </c>
      <c r="M13" s="162">
        <f t="shared" si="3"/>
        <v>24</v>
      </c>
      <c r="N13" s="46">
        <f t="shared" si="4"/>
        <v>10</v>
      </c>
      <c r="O13" s="47">
        <f t="shared" si="1"/>
        <v>242</v>
      </c>
      <c r="P13" s="78">
        <f t="shared" si="1"/>
        <v>109</v>
      </c>
      <c r="Q13" s="78">
        <f t="shared" si="1"/>
        <v>7</v>
      </c>
      <c r="R13" s="78">
        <f t="shared" si="1"/>
        <v>80</v>
      </c>
      <c r="S13" s="79">
        <f t="shared" si="2"/>
        <v>24.2</v>
      </c>
    </row>
    <row r="14" spans="1:19" ht="12">
      <c r="A14" s="69" t="s">
        <v>11</v>
      </c>
      <c r="B14" s="75">
        <f>SUM(B15:B16)</f>
        <v>21</v>
      </c>
      <c r="C14" s="75">
        <f>SUM(C15:C16)</f>
        <v>512</v>
      </c>
      <c r="D14" s="80">
        <f>SUM(D15:D16)</f>
        <v>250</v>
      </c>
      <c r="E14" s="80">
        <f>SUM(E15:E16)</f>
        <v>13</v>
      </c>
      <c r="F14" s="80">
        <f>SUM(F15:F16)</f>
        <v>143</v>
      </c>
      <c r="G14" s="74">
        <f t="shared" si="0"/>
        <v>24.38095238095238</v>
      </c>
      <c r="H14" s="75">
        <f>SUM(H15:H16)</f>
        <v>3</v>
      </c>
      <c r="I14" s="167">
        <f>SUM(I15:I16)</f>
        <v>74</v>
      </c>
      <c r="J14" s="80">
        <f>SUM(J15:J16)</f>
        <v>45</v>
      </c>
      <c r="K14" s="80">
        <f>SUM(K15:K16)</f>
        <v>0</v>
      </c>
      <c r="L14" s="80">
        <f>SUM(L15:L16)</f>
        <v>25</v>
      </c>
      <c r="M14" s="166">
        <f t="shared" si="3"/>
        <v>24.666666666666668</v>
      </c>
      <c r="N14" s="75">
        <f t="shared" si="4"/>
        <v>24</v>
      </c>
      <c r="O14" s="75">
        <f t="shared" si="1"/>
        <v>586</v>
      </c>
      <c r="P14" s="80">
        <f t="shared" si="1"/>
        <v>295</v>
      </c>
      <c r="Q14" s="80">
        <f t="shared" si="1"/>
        <v>13</v>
      </c>
      <c r="R14" s="80">
        <f t="shared" si="1"/>
        <v>168</v>
      </c>
      <c r="S14" s="74">
        <f t="shared" si="2"/>
        <v>24.416666666666668</v>
      </c>
    </row>
    <row r="15" spans="1:19" ht="12">
      <c r="A15" s="77" t="s">
        <v>32</v>
      </c>
      <c r="B15" s="46">
        <v>5</v>
      </c>
      <c r="C15" s="47">
        <v>130</v>
      </c>
      <c r="D15" s="78">
        <v>58</v>
      </c>
      <c r="E15" s="78">
        <v>8</v>
      </c>
      <c r="F15" s="78">
        <v>30</v>
      </c>
      <c r="G15" s="79">
        <f t="shared" si="0"/>
        <v>26</v>
      </c>
      <c r="H15" s="46">
        <v>3</v>
      </c>
      <c r="I15" s="47">
        <v>74</v>
      </c>
      <c r="J15" s="177">
        <v>45</v>
      </c>
      <c r="K15" s="177">
        <v>0</v>
      </c>
      <c r="L15" s="177">
        <v>25</v>
      </c>
      <c r="M15" s="162">
        <f t="shared" si="3"/>
        <v>24.666666666666668</v>
      </c>
      <c r="N15" s="46">
        <f t="shared" si="4"/>
        <v>8</v>
      </c>
      <c r="O15" s="47">
        <f t="shared" si="1"/>
        <v>204</v>
      </c>
      <c r="P15" s="78">
        <f t="shared" si="1"/>
        <v>103</v>
      </c>
      <c r="Q15" s="78">
        <f t="shared" si="1"/>
        <v>8</v>
      </c>
      <c r="R15" s="78">
        <f t="shared" si="1"/>
        <v>55</v>
      </c>
      <c r="S15" s="79">
        <f t="shared" si="2"/>
        <v>25.5</v>
      </c>
    </row>
    <row r="16" spans="1:19" ht="12">
      <c r="A16" s="77" t="s">
        <v>33</v>
      </c>
      <c r="B16" s="46">
        <v>16</v>
      </c>
      <c r="C16" s="47">
        <v>382</v>
      </c>
      <c r="D16" s="78">
        <v>192</v>
      </c>
      <c r="E16" s="78">
        <v>5</v>
      </c>
      <c r="F16" s="78">
        <v>113</v>
      </c>
      <c r="G16" s="79">
        <f t="shared" si="0"/>
        <v>23.875</v>
      </c>
      <c r="H16" s="123"/>
      <c r="I16" s="47"/>
      <c r="J16" s="176"/>
      <c r="K16" s="153"/>
      <c r="L16" s="153"/>
      <c r="M16" s="166"/>
      <c r="N16" s="46">
        <f t="shared" si="4"/>
        <v>16</v>
      </c>
      <c r="O16" s="47">
        <f t="shared" si="1"/>
        <v>382</v>
      </c>
      <c r="P16" s="78">
        <f t="shared" si="1"/>
        <v>192</v>
      </c>
      <c r="Q16" s="78">
        <f t="shared" si="1"/>
        <v>5</v>
      </c>
      <c r="R16" s="78">
        <f t="shared" si="1"/>
        <v>113</v>
      </c>
      <c r="S16" s="79">
        <f t="shared" si="2"/>
        <v>23.875</v>
      </c>
    </row>
    <row r="17" spans="1:19" ht="12">
      <c r="A17" s="69" t="s">
        <v>12</v>
      </c>
      <c r="B17" s="75">
        <f>SUM(B18:B19)</f>
        <v>24</v>
      </c>
      <c r="C17" s="75">
        <f>SUM(C18:C19)</f>
        <v>605</v>
      </c>
      <c r="D17" s="80">
        <f>SUM(D18:D19)</f>
        <v>270</v>
      </c>
      <c r="E17" s="80">
        <f>SUM(E18:E19)</f>
        <v>13</v>
      </c>
      <c r="F17" s="80">
        <f>SUM(F18:F19)</f>
        <v>127</v>
      </c>
      <c r="G17" s="74">
        <f t="shared" si="0"/>
        <v>25.208333333333332</v>
      </c>
      <c r="H17" s="75">
        <f>SUM(H18:H19)</f>
        <v>2</v>
      </c>
      <c r="I17" s="75">
        <f>SUM(I18:I19)</f>
        <v>45</v>
      </c>
      <c r="J17" s="80">
        <f>SUM(J18:J19)</f>
        <v>22</v>
      </c>
      <c r="K17" s="80">
        <f>SUM(K18:K19)</f>
        <v>0</v>
      </c>
      <c r="L17" s="80">
        <f>SUM(L18:L19)</f>
        <v>29</v>
      </c>
      <c r="M17" s="166">
        <f>+I17/H17</f>
        <v>22.5</v>
      </c>
      <c r="N17" s="75">
        <f t="shared" si="4"/>
        <v>26</v>
      </c>
      <c r="O17" s="75">
        <f t="shared" si="1"/>
        <v>650</v>
      </c>
      <c r="P17" s="80">
        <f t="shared" si="1"/>
        <v>292</v>
      </c>
      <c r="Q17" s="80">
        <f t="shared" si="1"/>
        <v>13</v>
      </c>
      <c r="R17" s="80">
        <f t="shared" si="1"/>
        <v>156</v>
      </c>
      <c r="S17" s="74">
        <f t="shared" si="2"/>
        <v>25</v>
      </c>
    </row>
    <row r="18" spans="1:19" ht="12">
      <c r="A18" s="77" t="s">
        <v>34</v>
      </c>
      <c r="B18" s="46">
        <v>12</v>
      </c>
      <c r="C18" s="47">
        <v>305</v>
      </c>
      <c r="D18" s="78">
        <v>128</v>
      </c>
      <c r="E18" s="78">
        <v>5</v>
      </c>
      <c r="F18" s="78">
        <v>58</v>
      </c>
      <c r="G18" s="79">
        <f t="shared" si="0"/>
        <v>25.416666666666668</v>
      </c>
      <c r="H18" s="46">
        <v>2</v>
      </c>
      <c r="I18" s="47">
        <v>45</v>
      </c>
      <c r="J18" s="177">
        <v>22</v>
      </c>
      <c r="K18" s="177">
        <v>0</v>
      </c>
      <c r="L18" s="177">
        <v>29</v>
      </c>
      <c r="M18" s="162">
        <f>+I18/H18</f>
        <v>22.5</v>
      </c>
      <c r="N18" s="46">
        <f t="shared" si="4"/>
        <v>14</v>
      </c>
      <c r="O18" s="47">
        <f t="shared" si="1"/>
        <v>350</v>
      </c>
      <c r="P18" s="78">
        <f t="shared" si="1"/>
        <v>150</v>
      </c>
      <c r="Q18" s="78">
        <f t="shared" si="1"/>
        <v>5</v>
      </c>
      <c r="R18" s="78">
        <f t="shared" si="1"/>
        <v>87</v>
      </c>
      <c r="S18" s="79">
        <f t="shared" si="2"/>
        <v>25</v>
      </c>
    </row>
    <row r="19" spans="1:19" ht="12">
      <c r="A19" s="77" t="s">
        <v>35</v>
      </c>
      <c r="B19" s="46">
        <v>12</v>
      </c>
      <c r="C19" s="47">
        <v>300</v>
      </c>
      <c r="D19" s="78">
        <v>142</v>
      </c>
      <c r="E19" s="78">
        <v>8</v>
      </c>
      <c r="F19" s="78">
        <v>69</v>
      </c>
      <c r="G19" s="79">
        <f t="shared" si="0"/>
        <v>25</v>
      </c>
      <c r="H19" s="123"/>
      <c r="I19" s="78"/>
      <c r="J19" s="175"/>
      <c r="K19" s="153"/>
      <c r="L19" s="153"/>
      <c r="M19" s="166"/>
      <c r="N19" s="46">
        <f t="shared" si="4"/>
        <v>12</v>
      </c>
      <c r="O19" s="47">
        <f t="shared" si="1"/>
        <v>300</v>
      </c>
      <c r="P19" s="78">
        <f t="shared" si="1"/>
        <v>142</v>
      </c>
      <c r="Q19" s="78">
        <f t="shared" si="1"/>
        <v>8</v>
      </c>
      <c r="R19" s="78">
        <f t="shared" si="1"/>
        <v>69</v>
      </c>
      <c r="S19" s="79">
        <f t="shared" si="2"/>
        <v>25</v>
      </c>
    </row>
    <row r="20" spans="1:21" ht="12">
      <c r="A20" s="69" t="s">
        <v>36</v>
      </c>
      <c r="B20" s="70">
        <v>16</v>
      </c>
      <c r="C20" s="71">
        <v>392</v>
      </c>
      <c r="D20" s="72">
        <v>182</v>
      </c>
      <c r="E20" s="72">
        <v>11</v>
      </c>
      <c r="F20" s="72">
        <v>135</v>
      </c>
      <c r="G20" s="74">
        <f t="shared" si="0"/>
        <v>24.5</v>
      </c>
      <c r="H20" s="70">
        <v>12</v>
      </c>
      <c r="I20" s="71">
        <v>290</v>
      </c>
      <c r="J20" s="178">
        <v>138</v>
      </c>
      <c r="K20" s="178">
        <v>3</v>
      </c>
      <c r="L20" s="178">
        <v>117</v>
      </c>
      <c r="M20" s="166">
        <f>+I20/H20</f>
        <v>24.166666666666668</v>
      </c>
      <c r="N20" s="70">
        <f t="shared" si="4"/>
        <v>28</v>
      </c>
      <c r="O20" s="71">
        <f t="shared" si="1"/>
        <v>682</v>
      </c>
      <c r="P20" s="72">
        <f t="shared" si="1"/>
        <v>320</v>
      </c>
      <c r="Q20" s="72">
        <f t="shared" si="1"/>
        <v>14</v>
      </c>
      <c r="R20" s="72">
        <f t="shared" si="1"/>
        <v>252</v>
      </c>
      <c r="S20" s="74">
        <f t="shared" si="2"/>
        <v>24.357142857142858</v>
      </c>
      <c r="U20" s="22"/>
    </row>
    <row r="21" spans="1:19" ht="12">
      <c r="A21" s="69" t="s">
        <v>37</v>
      </c>
      <c r="B21" s="81">
        <f>SUM(B22:B24)</f>
        <v>30</v>
      </c>
      <c r="C21" s="81">
        <f>SUM(C22:C24)</f>
        <v>720</v>
      </c>
      <c r="D21" s="82">
        <f>SUM(D22:D24)</f>
        <v>352</v>
      </c>
      <c r="E21" s="82">
        <f>SUM(E22:E24)</f>
        <v>16</v>
      </c>
      <c r="F21" s="82">
        <f>SUM(F22:F24)</f>
        <v>84</v>
      </c>
      <c r="G21" s="74">
        <f t="shared" si="0"/>
        <v>24</v>
      </c>
      <c r="H21" s="75">
        <f>SUM(H22:H24)</f>
        <v>5</v>
      </c>
      <c r="I21" s="75">
        <f>SUM(I22:I24)</f>
        <v>124</v>
      </c>
      <c r="J21" s="82">
        <f>SUM(J22:J24)</f>
        <v>65</v>
      </c>
      <c r="K21" s="82">
        <f>SUM(K22:K24)</f>
        <v>1</v>
      </c>
      <c r="L21" s="80">
        <f>SUM(L22:L24)</f>
        <v>24</v>
      </c>
      <c r="M21" s="166">
        <f>+I21/H21</f>
        <v>24.8</v>
      </c>
      <c r="N21" s="81">
        <f t="shared" si="4"/>
        <v>35</v>
      </c>
      <c r="O21" s="81">
        <f t="shared" si="1"/>
        <v>844</v>
      </c>
      <c r="P21" s="82">
        <f t="shared" si="1"/>
        <v>417</v>
      </c>
      <c r="Q21" s="82">
        <f t="shared" si="1"/>
        <v>17</v>
      </c>
      <c r="R21" s="82">
        <f t="shared" si="1"/>
        <v>108</v>
      </c>
      <c r="S21" s="74">
        <f t="shared" si="2"/>
        <v>24.114285714285714</v>
      </c>
    </row>
    <row r="22" spans="1:21" ht="12.75">
      <c r="A22" s="77" t="s">
        <v>38</v>
      </c>
      <c r="B22" s="83">
        <v>7</v>
      </c>
      <c r="C22" s="84">
        <v>162</v>
      </c>
      <c r="D22" s="78">
        <v>78</v>
      </c>
      <c r="E22" s="78">
        <v>2</v>
      </c>
      <c r="F22" s="78">
        <v>14</v>
      </c>
      <c r="G22" s="79">
        <f t="shared" si="0"/>
        <v>23.142857142857142</v>
      </c>
      <c r="H22" s="123"/>
      <c r="I22" s="78"/>
      <c r="J22" s="175"/>
      <c r="K22" s="153"/>
      <c r="L22" s="153"/>
      <c r="M22" s="166"/>
      <c r="N22" s="83">
        <f t="shared" si="4"/>
        <v>7</v>
      </c>
      <c r="O22" s="84">
        <f t="shared" si="1"/>
        <v>162</v>
      </c>
      <c r="P22" s="78">
        <f t="shared" si="1"/>
        <v>78</v>
      </c>
      <c r="Q22" s="78">
        <f t="shared" si="1"/>
        <v>2</v>
      </c>
      <c r="R22" s="78">
        <f t="shared" si="1"/>
        <v>14</v>
      </c>
      <c r="S22" s="79">
        <f t="shared" si="2"/>
        <v>23.142857142857142</v>
      </c>
      <c r="U22" s="22"/>
    </row>
    <row r="23" spans="1:19" ht="12">
      <c r="A23" s="77" t="s">
        <v>39</v>
      </c>
      <c r="B23" s="85">
        <v>8</v>
      </c>
      <c r="C23" s="84">
        <v>196</v>
      </c>
      <c r="D23" s="78">
        <v>96</v>
      </c>
      <c r="E23" s="78">
        <v>5</v>
      </c>
      <c r="F23" s="78">
        <v>28</v>
      </c>
      <c r="G23" s="79">
        <f t="shared" si="0"/>
        <v>24.5</v>
      </c>
      <c r="H23" s="123"/>
      <c r="I23" s="78"/>
      <c r="J23" s="175"/>
      <c r="K23" s="153"/>
      <c r="L23" s="153"/>
      <c r="M23" s="166"/>
      <c r="N23" s="85">
        <f t="shared" si="4"/>
        <v>8</v>
      </c>
      <c r="O23" s="84">
        <f t="shared" si="1"/>
        <v>196</v>
      </c>
      <c r="P23" s="78">
        <f t="shared" si="1"/>
        <v>96</v>
      </c>
      <c r="Q23" s="78">
        <f t="shared" si="1"/>
        <v>5</v>
      </c>
      <c r="R23" s="78">
        <f t="shared" si="1"/>
        <v>28</v>
      </c>
      <c r="S23" s="79">
        <f t="shared" si="2"/>
        <v>24.5</v>
      </c>
    </row>
    <row r="24" spans="1:19" ht="12">
      <c r="A24" s="77" t="s">
        <v>40</v>
      </c>
      <c r="B24" s="84">
        <v>15</v>
      </c>
      <c r="C24" s="47">
        <v>362</v>
      </c>
      <c r="D24" s="78">
        <v>178</v>
      </c>
      <c r="E24" s="78">
        <v>9</v>
      </c>
      <c r="F24" s="78">
        <v>42</v>
      </c>
      <c r="G24" s="79">
        <f t="shared" si="0"/>
        <v>24.133333333333333</v>
      </c>
      <c r="H24" s="46">
        <v>5</v>
      </c>
      <c r="I24" s="47">
        <v>124</v>
      </c>
      <c r="J24" s="177">
        <v>65</v>
      </c>
      <c r="K24" s="177">
        <v>1</v>
      </c>
      <c r="L24" s="177">
        <v>24</v>
      </c>
      <c r="M24" s="162">
        <f>+I24/H24</f>
        <v>24.8</v>
      </c>
      <c r="N24" s="84">
        <f t="shared" si="4"/>
        <v>20</v>
      </c>
      <c r="O24" s="47">
        <f t="shared" si="1"/>
        <v>486</v>
      </c>
      <c r="P24" s="78">
        <f t="shared" si="1"/>
        <v>243</v>
      </c>
      <c r="Q24" s="78">
        <f t="shared" si="1"/>
        <v>10</v>
      </c>
      <c r="R24" s="78">
        <f t="shared" si="1"/>
        <v>66</v>
      </c>
      <c r="S24" s="79">
        <f t="shared" si="2"/>
        <v>24.3</v>
      </c>
    </row>
    <row r="25" spans="1:19" ht="12">
      <c r="A25" s="69" t="s">
        <v>41</v>
      </c>
      <c r="B25" s="75">
        <f>SUM(B26:B27)</f>
        <v>19</v>
      </c>
      <c r="C25" s="75">
        <f>SUM(C26:C27)</f>
        <v>478</v>
      </c>
      <c r="D25" s="80">
        <f>SUM(D26:D27)</f>
        <v>227</v>
      </c>
      <c r="E25" s="80">
        <f>SUM(E26:E27)</f>
        <v>14</v>
      </c>
      <c r="F25" s="80">
        <f>SUM(F26:F27)</f>
        <v>75</v>
      </c>
      <c r="G25" s="74">
        <f t="shared" si="0"/>
        <v>25.157894736842106</v>
      </c>
      <c r="H25" s="75">
        <f>SUM(H26:H27)</f>
        <v>14</v>
      </c>
      <c r="I25" s="75">
        <f>SUM(I26:I27)</f>
        <v>324</v>
      </c>
      <c r="J25" s="80">
        <f>SUM(J26:J27)</f>
        <v>150</v>
      </c>
      <c r="K25" s="80">
        <f>SUM(K26:K27)</f>
        <v>7</v>
      </c>
      <c r="L25" s="80">
        <f>SUM(L26:L27)</f>
        <v>107</v>
      </c>
      <c r="M25" s="166">
        <f>+I25/H25</f>
        <v>23.142857142857142</v>
      </c>
      <c r="N25" s="75">
        <f t="shared" si="4"/>
        <v>33</v>
      </c>
      <c r="O25" s="75">
        <f t="shared" si="1"/>
        <v>802</v>
      </c>
      <c r="P25" s="80">
        <f t="shared" si="1"/>
        <v>377</v>
      </c>
      <c r="Q25" s="80">
        <f t="shared" si="1"/>
        <v>21</v>
      </c>
      <c r="R25" s="80">
        <f t="shared" si="1"/>
        <v>182</v>
      </c>
      <c r="S25" s="74">
        <f t="shared" si="2"/>
        <v>24.303030303030305</v>
      </c>
    </row>
    <row r="26" spans="1:19" ht="12">
      <c r="A26" s="77" t="s">
        <v>42</v>
      </c>
      <c r="B26" s="46">
        <v>9</v>
      </c>
      <c r="C26" s="47">
        <v>228</v>
      </c>
      <c r="D26" s="78">
        <v>112</v>
      </c>
      <c r="E26" s="78">
        <v>8</v>
      </c>
      <c r="F26" s="78">
        <v>43</v>
      </c>
      <c r="G26" s="79">
        <f t="shared" si="0"/>
        <v>25.333333333333332</v>
      </c>
      <c r="H26" s="123"/>
      <c r="I26" s="78"/>
      <c r="J26" s="175"/>
      <c r="K26" s="153"/>
      <c r="L26" s="153"/>
      <c r="M26" s="166"/>
      <c r="N26" s="46">
        <f t="shared" si="4"/>
        <v>9</v>
      </c>
      <c r="O26" s="47">
        <f t="shared" si="1"/>
        <v>228</v>
      </c>
      <c r="P26" s="78">
        <f t="shared" si="1"/>
        <v>112</v>
      </c>
      <c r="Q26" s="78">
        <f t="shared" si="1"/>
        <v>8</v>
      </c>
      <c r="R26" s="78">
        <f t="shared" si="1"/>
        <v>43</v>
      </c>
      <c r="S26" s="79">
        <f t="shared" si="2"/>
        <v>25.333333333333332</v>
      </c>
    </row>
    <row r="27" spans="1:19" ht="12">
      <c r="A27" s="77" t="s">
        <v>43</v>
      </c>
      <c r="B27" s="46">
        <v>10</v>
      </c>
      <c r="C27" s="47">
        <v>250</v>
      </c>
      <c r="D27" s="78">
        <v>115</v>
      </c>
      <c r="E27" s="78">
        <v>6</v>
      </c>
      <c r="F27" s="78">
        <v>32</v>
      </c>
      <c r="G27" s="79">
        <f t="shared" si="0"/>
        <v>25</v>
      </c>
      <c r="H27" s="46">
        <v>14</v>
      </c>
      <c r="I27" s="47">
        <v>324</v>
      </c>
      <c r="J27" s="177">
        <v>150</v>
      </c>
      <c r="K27" s="177">
        <v>7</v>
      </c>
      <c r="L27" s="177">
        <v>107</v>
      </c>
      <c r="M27" s="162">
        <f>+I27/H27</f>
        <v>23.142857142857142</v>
      </c>
      <c r="N27" s="46">
        <f t="shared" si="4"/>
        <v>24</v>
      </c>
      <c r="O27" s="47">
        <f t="shared" si="1"/>
        <v>574</v>
      </c>
      <c r="P27" s="78">
        <f t="shared" si="1"/>
        <v>265</v>
      </c>
      <c r="Q27" s="78">
        <f t="shared" si="1"/>
        <v>13</v>
      </c>
      <c r="R27" s="78">
        <f t="shared" si="1"/>
        <v>139</v>
      </c>
      <c r="S27" s="79">
        <f t="shared" si="2"/>
        <v>23.916666666666668</v>
      </c>
    </row>
    <row r="28" spans="1:19" ht="12">
      <c r="A28" s="69" t="s">
        <v>16</v>
      </c>
      <c r="B28" s="75">
        <f>SUM(B29:B30)</f>
        <v>24</v>
      </c>
      <c r="C28" s="75">
        <f>SUM(C29:C30)</f>
        <v>578</v>
      </c>
      <c r="D28" s="80">
        <f>SUM(D29:D30)</f>
        <v>282</v>
      </c>
      <c r="E28" s="80">
        <f>SUM(E29:E30)</f>
        <v>11</v>
      </c>
      <c r="F28" s="80">
        <f>SUM(F29:F30)</f>
        <v>109</v>
      </c>
      <c r="G28" s="74">
        <f t="shared" si="0"/>
        <v>24.083333333333332</v>
      </c>
      <c r="H28" s="75">
        <f>SUM(H29:H30)</f>
        <v>2</v>
      </c>
      <c r="I28" s="75">
        <f>SUM(I29:I30)</f>
        <v>49</v>
      </c>
      <c r="J28" s="80">
        <f>SUM(J29:J30)</f>
        <v>18</v>
      </c>
      <c r="K28" s="80">
        <f>SUM(K29:K30)</f>
        <v>0</v>
      </c>
      <c r="L28" s="80">
        <f>SUM(L29:L30)</f>
        <v>10</v>
      </c>
      <c r="M28" s="166">
        <f>+I28/H28</f>
        <v>24.5</v>
      </c>
      <c r="N28" s="75">
        <f t="shared" si="4"/>
        <v>26</v>
      </c>
      <c r="O28" s="75">
        <f t="shared" si="1"/>
        <v>627</v>
      </c>
      <c r="P28" s="80">
        <f t="shared" si="1"/>
        <v>300</v>
      </c>
      <c r="Q28" s="80">
        <f t="shared" si="1"/>
        <v>11</v>
      </c>
      <c r="R28" s="80">
        <f t="shared" si="1"/>
        <v>119</v>
      </c>
      <c r="S28" s="74">
        <f t="shared" si="2"/>
        <v>24.115384615384617</v>
      </c>
    </row>
    <row r="29" spans="1:19" ht="12">
      <c r="A29" s="77" t="s">
        <v>44</v>
      </c>
      <c r="B29" s="46">
        <v>19</v>
      </c>
      <c r="C29" s="47">
        <v>468</v>
      </c>
      <c r="D29" s="78">
        <v>232</v>
      </c>
      <c r="E29" s="78">
        <v>9</v>
      </c>
      <c r="F29" s="78">
        <v>64</v>
      </c>
      <c r="G29" s="79">
        <f t="shared" si="0"/>
        <v>24.63157894736842</v>
      </c>
      <c r="H29" s="123"/>
      <c r="I29" s="165"/>
      <c r="J29" s="175"/>
      <c r="K29" s="153"/>
      <c r="L29" s="153"/>
      <c r="M29" s="166"/>
      <c r="N29" s="46">
        <f t="shared" si="4"/>
        <v>19</v>
      </c>
      <c r="O29" s="47">
        <f t="shared" si="1"/>
        <v>468</v>
      </c>
      <c r="P29" s="78">
        <f t="shared" si="1"/>
        <v>232</v>
      </c>
      <c r="Q29" s="78">
        <f t="shared" si="1"/>
        <v>9</v>
      </c>
      <c r="R29" s="78">
        <f t="shared" si="1"/>
        <v>64</v>
      </c>
      <c r="S29" s="79">
        <f t="shared" si="2"/>
        <v>24.63157894736842</v>
      </c>
    </row>
    <row r="30" spans="1:19" ht="12">
      <c r="A30" s="77" t="s">
        <v>45</v>
      </c>
      <c r="B30" s="46">
        <v>5</v>
      </c>
      <c r="C30" s="47">
        <v>110</v>
      </c>
      <c r="D30" s="78">
        <v>50</v>
      </c>
      <c r="E30" s="78">
        <v>2</v>
      </c>
      <c r="F30" s="78">
        <v>45</v>
      </c>
      <c r="G30" s="79">
        <f t="shared" si="0"/>
        <v>22</v>
      </c>
      <c r="H30" s="46">
        <v>2</v>
      </c>
      <c r="I30" s="47">
        <v>49</v>
      </c>
      <c r="J30" s="177">
        <v>18</v>
      </c>
      <c r="K30" s="177">
        <v>0</v>
      </c>
      <c r="L30" s="177">
        <v>10</v>
      </c>
      <c r="M30" s="162">
        <f>+I30/H30</f>
        <v>24.5</v>
      </c>
      <c r="N30" s="46">
        <f t="shared" si="4"/>
        <v>7</v>
      </c>
      <c r="O30" s="47">
        <f t="shared" si="1"/>
        <v>159</v>
      </c>
      <c r="P30" s="78">
        <f t="shared" si="1"/>
        <v>68</v>
      </c>
      <c r="Q30" s="78">
        <f t="shared" si="1"/>
        <v>2</v>
      </c>
      <c r="R30" s="78">
        <f t="shared" si="1"/>
        <v>55</v>
      </c>
      <c r="S30" s="79">
        <f t="shared" si="2"/>
        <v>22.714285714285715</v>
      </c>
    </row>
    <row r="31" spans="1:19" ht="12">
      <c r="A31" s="69" t="s">
        <v>17</v>
      </c>
      <c r="B31" s="75">
        <f>SUM(B32:B33)</f>
        <v>22</v>
      </c>
      <c r="C31" s="75">
        <f>SUM(C32:C33)</f>
        <v>546</v>
      </c>
      <c r="D31" s="80">
        <f>SUM(D32:D33)</f>
        <v>251</v>
      </c>
      <c r="E31" s="80">
        <f>SUM(E32:E33)</f>
        <v>9</v>
      </c>
      <c r="F31" s="80">
        <f>SUM(F32:F33)</f>
        <v>31</v>
      </c>
      <c r="G31" s="74">
        <f t="shared" si="0"/>
        <v>24.818181818181817</v>
      </c>
      <c r="H31" s="75">
        <f>SUM(H32:H33)</f>
        <v>17</v>
      </c>
      <c r="I31" s="75">
        <f>SUM(I32:I33)</f>
        <v>411</v>
      </c>
      <c r="J31" s="80">
        <f>SUM(J32:J33)</f>
        <v>195</v>
      </c>
      <c r="K31" s="80">
        <f>SUM(K32:K33)</f>
        <v>0</v>
      </c>
      <c r="L31" s="80">
        <f>SUM(L32:L33)</f>
        <v>32</v>
      </c>
      <c r="M31" s="166">
        <f>+I31/H31</f>
        <v>24.176470588235293</v>
      </c>
      <c r="N31" s="75">
        <f t="shared" si="4"/>
        <v>39</v>
      </c>
      <c r="O31" s="75">
        <f t="shared" si="1"/>
        <v>957</v>
      </c>
      <c r="P31" s="80">
        <f t="shared" si="1"/>
        <v>446</v>
      </c>
      <c r="Q31" s="80">
        <f t="shared" si="1"/>
        <v>9</v>
      </c>
      <c r="R31" s="80">
        <f t="shared" si="1"/>
        <v>63</v>
      </c>
      <c r="S31" s="74">
        <f t="shared" si="2"/>
        <v>24.53846153846154</v>
      </c>
    </row>
    <row r="32" spans="1:19" ht="12">
      <c r="A32" s="86" t="s">
        <v>46</v>
      </c>
      <c r="B32" s="46">
        <v>15</v>
      </c>
      <c r="C32" s="47">
        <v>369</v>
      </c>
      <c r="D32" s="78">
        <v>170</v>
      </c>
      <c r="E32" s="78">
        <v>5</v>
      </c>
      <c r="F32" s="78">
        <v>22</v>
      </c>
      <c r="G32" s="79">
        <f t="shared" si="0"/>
        <v>24.6</v>
      </c>
      <c r="H32" s="46">
        <v>11</v>
      </c>
      <c r="I32" s="47">
        <v>264</v>
      </c>
      <c r="J32" s="177">
        <v>127</v>
      </c>
      <c r="K32" s="177">
        <v>0</v>
      </c>
      <c r="L32" s="177">
        <v>21</v>
      </c>
      <c r="M32" s="162">
        <f>+I32/H32</f>
        <v>24</v>
      </c>
      <c r="N32" s="46">
        <f t="shared" si="4"/>
        <v>26</v>
      </c>
      <c r="O32" s="47">
        <f t="shared" si="1"/>
        <v>633</v>
      </c>
      <c r="P32" s="78">
        <f t="shared" si="1"/>
        <v>297</v>
      </c>
      <c r="Q32" s="78">
        <f t="shared" si="1"/>
        <v>5</v>
      </c>
      <c r="R32" s="78">
        <f t="shared" si="1"/>
        <v>43</v>
      </c>
      <c r="S32" s="79">
        <f t="shared" si="2"/>
        <v>24.346153846153847</v>
      </c>
    </row>
    <row r="33" spans="1:19" ht="12">
      <c r="A33" s="86" t="s">
        <v>47</v>
      </c>
      <c r="B33" s="48">
        <v>7</v>
      </c>
      <c r="C33" s="47">
        <v>177</v>
      </c>
      <c r="D33" s="88">
        <v>81</v>
      </c>
      <c r="E33" s="88">
        <v>4</v>
      </c>
      <c r="F33" s="88">
        <v>9</v>
      </c>
      <c r="G33" s="87">
        <f t="shared" si="0"/>
        <v>25.285714285714285</v>
      </c>
      <c r="H33" s="48">
        <v>6</v>
      </c>
      <c r="I33" s="47">
        <v>147</v>
      </c>
      <c r="J33" s="186">
        <v>68</v>
      </c>
      <c r="K33" s="186">
        <v>0</v>
      </c>
      <c r="L33" s="186">
        <v>11</v>
      </c>
      <c r="M33" s="170">
        <f>+I33/H33</f>
        <v>24.5</v>
      </c>
      <c r="N33" s="48">
        <f t="shared" si="4"/>
        <v>13</v>
      </c>
      <c r="O33" s="47">
        <f t="shared" si="1"/>
        <v>324</v>
      </c>
      <c r="P33" s="88">
        <f t="shared" si="1"/>
        <v>149</v>
      </c>
      <c r="Q33" s="88">
        <f t="shared" si="1"/>
        <v>4</v>
      </c>
      <c r="R33" s="88">
        <f t="shared" si="1"/>
        <v>20</v>
      </c>
      <c r="S33" s="87">
        <f t="shared" si="2"/>
        <v>24.923076923076923</v>
      </c>
    </row>
    <row r="34" spans="1:19" ht="12">
      <c r="A34" s="89" t="s">
        <v>48</v>
      </c>
      <c r="B34" s="90">
        <f>+B9+B10+B14+B17+B20+B21+B25+B28+B31</f>
        <v>214</v>
      </c>
      <c r="C34" s="91">
        <f>+C9+C10+C14+C17+C20+C21+C25+C28+C31</f>
        <v>5260</v>
      </c>
      <c r="D34" s="92">
        <f>+D9+D10+D14+D17+D20+D21+D25+D28+D31</f>
        <v>2470</v>
      </c>
      <c r="E34" s="93">
        <f>+E9+E10+E14+E17+E20+E21+E25+E28+E31</f>
        <v>131</v>
      </c>
      <c r="F34" s="93">
        <f>+F9+F10+F14+F17+F20+F21+F25+F28+F31</f>
        <v>1150</v>
      </c>
      <c r="G34" s="94">
        <f t="shared" si="0"/>
        <v>24.57943925233645</v>
      </c>
      <c r="H34" s="90">
        <f>+H9+H10+H14+H17+H20+H21+H25+H28+H31</f>
        <v>66</v>
      </c>
      <c r="I34" s="91">
        <f>+I10+I14+I17+I20+I21+I25+I28+I31</f>
        <v>1582</v>
      </c>
      <c r="J34" s="92">
        <f>+J10+J14+J17+J20+J21+J25+J28+J31</f>
        <v>765</v>
      </c>
      <c r="K34" s="95">
        <f>+K10+K14+K17+K20+K21+K25+K28+K31</f>
        <v>13</v>
      </c>
      <c r="L34" s="95">
        <f>+L10+L14+L17+L20+L21+L25+L28+L31</f>
        <v>438</v>
      </c>
      <c r="M34" s="96">
        <f>+I34/H34</f>
        <v>23.96969696969697</v>
      </c>
      <c r="N34" s="90">
        <f>H34+B34</f>
        <v>280</v>
      </c>
      <c r="O34" s="91">
        <f>I34+C34</f>
        <v>6842</v>
      </c>
      <c r="P34" s="92">
        <f>J34+D34</f>
        <v>3235</v>
      </c>
      <c r="Q34" s="93">
        <f>K34+E34</f>
        <v>144</v>
      </c>
      <c r="R34" s="93">
        <f>L34+F34</f>
        <v>1588</v>
      </c>
      <c r="S34" s="94">
        <f t="shared" si="2"/>
        <v>24.435714285714287</v>
      </c>
    </row>
    <row r="35" spans="1:19" ht="12">
      <c r="A35" s="97" t="s">
        <v>83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4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97" t="s">
        <v>85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97" t="s">
        <v>84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1:19" ht="12">
      <c r="A41" s="97" t="s">
        <v>82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86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7">
    <mergeCell ref="B3:S3"/>
    <mergeCell ref="B4:G4"/>
    <mergeCell ref="H4:M4"/>
    <mergeCell ref="N4:S4"/>
    <mergeCell ref="C5:G5"/>
    <mergeCell ref="I5:M5"/>
    <mergeCell ref="O5:S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&amp;R400042.xls</oddHeader>
    <oddFooter>&amp;LComune di Bologna - Dipartimento Programmazione</oddFooter>
  </headerFooter>
  <ignoredErrors>
    <ignoredError sqref="B11:F16 B10:C10 H11:S16 G11:G13 B18:F34 H18:S34 S17" unlockedFormula="1"/>
    <ignoredError sqref="D10:G10 N9:S9 H10:S10 G9 H17:R17 B17:F17 G18:G34 G14:G16 G17" numberStoredAsText="1" unlockedFormula="1"/>
    <ignoredError sqref="D8:S8 D9:F9 H9:M9 Q1" numberStoredAsText="1"/>
    <ignoredError sqref="H17:R17 B17:F17" formulaRange="1" unlockedFormula="1"/>
    <ignoredError sqref="G18:G34 G14:G16" formula="1" unlockedFormula="1"/>
    <ignoredError sqref="G17" formula="1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N1" sqref="N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6.253906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1" t="s">
        <v>25</v>
      </c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0">
        <v>19</v>
      </c>
      <c r="C9" s="71">
        <v>470</v>
      </c>
      <c r="D9" s="72">
        <v>220</v>
      </c>
      <c r="E9" s="72">
        <v>18</v>
      </c>
      <c r="F9" s="72">
        <v>142</v>
      </c>
      <c r="G9" s="74">
        <f aca="true" t="shared" si="0" ref="G9:G34">+C9/B9</f>
        <v>24.736842105263158</v>
      </c>
      <c r="H9" s="75"/>
      <c r="I9" s="165"/>
      <c r="J9" s="76"/>
      <c r="K9" s="80"/>
      <c r="L9" s="80"/>
      <c r="M9" s="166"/>
      <c r="N9" s="70">
        <f>B9+H9</f>
        <v>19</v>
      </c>
      <c r="O9" s="71">
        <f aca="true" t="shared" si="1" ref="O9:R33">C9+I9</f>
        <v>470</v>
      </c>
      <c r="P9" s="72">
        <f t="shared" si="1"/>
        <v>220</v>
      </c>
      <c r="Q9" s="72">
        <f t="shared" si="1"/>
        <v>18</v>
      </c>
      <c r="R9" s="72">
        <f t="shared" si="1"/>
        <v>142</v>
      </c>
      <c r="S9" s="74">
        <f aca="true" t="shared" si="2" ref="S9:S34">+O9/N9</f>
        <v>24.736842105263158</v>
      </c>
    </row>
    <row r="10" spans="1:19" ht="12">
      <c r="A10" s="69" t="s">
        <v>10</v>
      </c>
      <c r="B10" s="75">
        <f>+B11+B12+B13</f>
        <v>37</v>
      </c>
      <c r="C10" s="75">
        <f>+C11+C12+C13</f>
        <v>909</v>
      </c>
      <c r="D10" s="76">
        <f>+D11+D12+D13</f>
        <v>429</v>
      </c>
      <c r="E10" s="76">
        <f>+E11+E12+E13</f>
        <v>20</v>
      </c>
      <c r="F10" s="76">
        <f>+F11+F12+F13</f>
        <v>268</v>
      </c>
      <c r="G10" s="74">
        <f t="shared" si="0"/>
        <v>24.56756756756757</v>
      </c>
      <c r="H10" s="75">
        <f>SUM(H11:H13)</f>
        <v>11</v>
      </c>
      <c r="I10" s="99">
        <f>SUM(I11:I13)</f>
        <v>252</v>
      </c>
      <c r="J10" s="76">
        <f>SUM(J11:J13)</f>
        <v>126</v>
      </c>
      <c r="K10" s="76">
        <f>SUM(K11:K13)</f>
        <v>3</v>
      </c>
      <c r="L10" s="76">
        <f>SUM(L11:L13)</f>
        <v>111</v>
      </c>
      <c r="M10" s="166">
        <f>+I10/H10</f>
        <v>22.90909090909091</v>
      </c>
      <c r="N10" s="75">
        <f aca="true" t="shared" si="3" ref="N10:N33">B10+H10</f>
        <v>48</v>
      </c>
      <c r="O10" s="75">
        <f t="shared" si="1"/>
        <v>1161</v>
      </c>
      <c r="P10" s="76">
        <f t="shared" si="1"/>
        <v>555</v>
      </c>
      <c r="Q10" s="76">
        <f t="shared" si="1"/>
        <v>23</v>
      </c>
      <c r="R10" s="76">
        <f t="shared" si="1"/>
        <v>379</v>
      </c>
      <c r="S10" s="74">
        <f t="shared" si="2"/>
        <v>24.1875</v>
      </c>
    </row>
    <row r="11" spans="1:19" ht="12">
      <c r="A11" s="77" t="s">
        <v>29</v>
      </c>
      <c r="B11" s="46">
        <v>19</v>
      </c>
      <c r="C11" s="47">
        <v>466</v>
      </c>
      <c r="D11" s="78">
        <v>216</v>
      </c>
      <c r="E11" s="78">
        <v>12</v>
      </c>
      <c r="F11" s="78">
        <v>161</v>
      </c>
      <c r="G11" s="79">
        <f t="shared" si="0"/>
        <v>24.526315789473685</v>
      </c>
      <c r="H11" s="46">
        <v>5</v>
      </c>
      <c r="I11" s="47">
        <v>107</v>
      </c>
      <c r="J11" s="177">
        <v>56</v>
      </c>
      <c r="K11" s="177">
        <v>1</v>
      </c>
      <c r="L11" s="177">
        <v>60</v>
      </c>
      <c r="M11" s="162">
        <f>+I11/H11</f>
        <v>21.4</v>
      </c>
      <c r="N11" s="46">
        <f t="shared" si="3"/>
        <v>24</v>
      </c>
      <c r="O11" s="47">
        <f t="shared" si="1"/>
        <v>573</v>
      </c>
      <c r="P11" s="78">
        <f t="shared" si="1"/>
        <v>272</v>
      </c>
      <c r="Q11" s="78">
        <f t="shared" si="1"/>
        <v>13</v>
      </c>
      <c r="R11" s="78">
        <f t="shared" si="1"/>
        <v>221</v>
      </c>
      <c r="S11" s="79">
        <f t="shared" si="2"/>
        <v>23.875</v>
      </c>
    </row>
    <row r="12" spans="1:19" ht="12">
      <c r="A12" s="77" t="s">
        <v>30</v>
      </c>
      <c r="B12" s="46">
        <v>10</v>
      </c>
      <c r="C12" s="47">
        <v>257</v>
      </c>
      <c r="D12" s="78">
        <v>128</v>
      </c>
      <c r="E12" s="78">
        <v>3</v>
      </c>
      <c r="F12" s="78">
        <v>54</v>
      </c>
      <c r="G12" s="79">
        <f t="shared" si="0"/>
        <v>25.7</v>
      </c>
      <c r="H12" s="46">
        <v>4</v>
      </c>
      <c r="I12" s="47">
        <v>97</v>
      </c>
      <c r="J12" s="177">
        <v>50</v>
      </c>
      <c r="K12" s="177">
        <v>1</v>
      </c>
      <c r="L12" s="177">
        <v>27</v>
      </c>
      <c r="M12" s="162">
        <f>+I12/H12</f>
        <v>24.25</v>
      </c>
      <c r="N12" s="46">
        <f t="shared" si="3"/>
        <v>14</v>
      </c>
      <c r="O12" s="47">
        <f t="shared" si="1"/>
        <v>354</v>
      </c>
      <c r="P12" s="78">
        <f t="shared" si="1"/>
        <v>178</v>
      </c>
      <c r="Q12" s="78">
        <f t="shared" si="1"/>
        <v>4</v>
      </c>
      <c r="R12" s="78">
        <f t="shared" si="1"/>
        <v>81</v>
      </c>
      <c r="S12" s="79">
        <f t="shared" si="2"/>
        <v>25.285714285714285</v>
      </c>
    </row>
    <row r="13" spans="1:19" ht="12">
      <c r="A13" s="77" t="s">
        <v>31</v>
      </c>
      <c r="B13" s="46">
        <v>8</v>
      </c>
      <c r="C13" s="47">
        <v>186</v>
      </c>
      <c r="D13" s="78">
        <v>85</v>
      </c>
      <c r="E13" s="78">
        <v>5</v>
      </c>
      <c r="F13" s="78">
        <v>53</v>
      </c>
      <c r="G13" s="79">
        <f t="shared" si="0"/>
        <v>23.25</v>
      </c>
      <c r="H13" s="123">
        <v>2</v>
      </c>
      <c r="I13" s="78">
        <v>48</v>
      </c>
      <c r="J13" s="175">
        <v>20</v>
      </c>
      <c r="K13" s="153">
        <v>1</v>
      </c>
      <c r="L13" s="153">
        <v>24</v>
      </c>
      <c r="M13" s="166"/>
      <c r="N13" s="46">
        <f t="shared" si="3"/>
        <v>10</v>
      </c>
      <c r="O13" s="47">
        <f t="shared" si="1"/>
        <v>234</v>
      </c>
      <c r="P13" s="78">
        <f t="shared" si="1"/>
        <v>105</v>
      </c>
      <c r="Q13" s="78">
        <f t="shared" si="1"/>
        <v>6</v>
      </c>
      <c r="R13" s="78">
        <f t="shared" si="1"/>
        <v>77</v>
      </c>
      <c r="S13" s="79">
        <f t="shared" si="2"/>
        <v>23.4</v>
      </c>
    </row>
    <row r="14" spans="1:19" ht="12">
      <c r="A14" s="69" t="s">
        <v>11</v>
      </c>
      <c r="B14" s="75">
        <f>SUM(B15:B16)</f>
        <v>18</v>
      </c>
      <c r="C14" s="75">
        <f>SUM(C15:C16)</f>
        <v>448</v>
      </c>
      <c r="D14" s="80">
        <f>SUM(D15:D16)</f>
        <v>208</v>
      </c>
      <c r="E14" s="80">
        <f>SUM(E15:E16)</f>
        <v>13</v>
      </c>
      <c r="F14" s="80">
        <f>SUM(F15:F16)</f>
        <v>94</v>
      </c>
      <c r="G14" s="74">
        <f t="shared" si="0"/>
        <v>24.88888888888889</v>
      </c>
      <c r="H14" s="75">
        <f>SUM(H15:H16)</f>
        <v>3</v>
      </c>
      <c r="I14" s="167">
        <f>SUM(I15:I16)</f>
        <v>75</v>
      </c>
      <c r="J14" s="80">
        <f>SUM(J15:J16)</f>
        <v>49</v>
      </c>
      <c r="K14" s="80">
        <f>SUM(K15:K16)</f>
        <v>1</v>
      </c>
      <c r="L14" s="80">
        <f>SUM(L15:L16)</f>
        <v>28</v>
      </c>
      <c r="M14" s="166">
        <f>+I14/H14</f>
        <v>25</v>
      </c>
      <c r="N14" s="75">
        <f t="shared" si="3"/>
        <v>21</v>
      </c>
      <c r="O14" s="75">
        <f t="shared" si="1"/>
        <v>523</v>
      </c>
      <c r="P14" s="80">
        <f t="shared" si="1"/>
        <v>257</v>
      </c>
      <c r="Q14" s="80">
        <f t="shared" si="1"/>
        <v>14</v>
      </c>
      <c r="R14" s="80">
        <f t="shared" si="1"/>
        <v>122</v>
      </c>
      <c r="S14" s="74">
        <f t="shared" si="2"/>
        <v>24.904761904761905</v>
      </c>
    </row>
    <row r="15" spans="1:19" ht="12">
      <c r="A15" s="77" t="s">
        <v>32</v>
      </c>
      <c r="B15" s="46">
        <v>5</v>
      </c>
      <c r="C15" s="47">
        <v>129</v>
      </c>
      <c r="D15" s="78">
        <v>60</v>
      </c>
      <c r="E15" s="78">
        <v>7</v>
      </c>
      <c r="F15" s="78">
        <v>21</v>
      </c>
      <c r="G15" s="79">
        <f t="shared" si="0"/>
        <v>25.8</v>
      </c>
      <c r="H15" s="46">
        <v>3</v>
      </c>
      <c r="I15" s="47">
        <v>75</v>
      </c>
      <c r="J15" s="177">
        <v>49</v>
      </c>
      <c r="K15" s="177">
        <v>1</v>
      </c>
      <c r="L15" s="177">
        <v>28</v>
      </c>
      <c r="M15" s="162">
        <f>+I15/H15</f>
        <v>25</v>
      </c>
      <c r="N15" s="46">
        <f t="shared" si="3"/>
        <v>8</v>
      </c>
      <c r="O15" s="47">
        <f t="shared" si="1"/>
        <v>204</v>
      </c>
      <c r="P15" s="78">
        <f t="shared" si="1"/>
        <v>109</v>
      </c>
      <c r="Q15" s="78">
        <f t="shared" si="1"/>
        <v>8</v>
      </c>
      <c r="R15" s="78">
        <f t="shared" si="1"/>
        <v>49</v>
      </c>
      <c r="S15" s="79">
        <f t="shared" si="2"/>
        <v>25.5</v>
      </c>
    </row>
    <row r="16" spans="1:19" ht="12">
      <c r="A16" s="77" t="s">
        <v>33</v>
      </c>
      <c r="B16" s="46">
        <v>13</v>
      </c>
      <c r="C16" s="47">
        <v>319</v>
      </c>
      <c r="D16" s="78">
        <v>148</v>
      </c>
      <c r="E16" s="78">
        <v>6</v>
      </c>
      <c r="F16" s="78">
        <v>73</v>
      </c>
      <c r="G16" s="79">
        <f t="shared" si="0"/>
        <v>24.53846153846154</v>
      </c>
      <c r="H16" s="123"/>
      <c r="I16" s="165"/>
      <c r="J16" s="176"/>
      <c r="K16" s="153"/>
      <c r="L16" s="153"/>
      <c r="M16" s="166"/>
      <c r="N16" s="46">
        <f t="shared" si="3"/>
        <v>13</v>
      </c>
      <c r="O16" s="47">
        <f t="shared" si="1"/>
        <v>319</v>
      </c>
      <c r="P16" s="78">
        <f t="shared" si="1"/>
        <v>148</v>
      </c>
      <c r="Q16" s="78">
        <f t="shared" si="1"/>
        <v>6</v>
      </c>
      <c r="R16" s="78">
        <f t="shared" si="1"/>
        <v>73</v>
      </c>
      <c r="S16" s="79">
        <f t="shared" si="2"/>
        <v>24.53846153846154</v>
      </c>
    </row>
    <row r="17" spans="1:19" ht="12">
      <c r="A17" s="69" t="s">
        <v>12</v>
      </c>
      <c r="B17" s="75">
        <f>SUM(B18:B19)</f>
        <v>24</v>
      </c>
      <c r="C17" s="75">
        <f>SUM(C18:C19)</f>
        <v>602</v>
      </c>
      <c r="D17" s="80">
        <f>SUM(D18:D19)</f>
        <v>267</v>
      </c>
      <c r="E17" s="80">
        <f>SUM(E18:E19)</f>
        <v>14</v>
      </c>
      <c r="F17" s="80">
        <f>SUM(F18:F19)</f>
        <v>119</v>
      </c>
      <c r="G17" s="74">
        <f t="shared" si="0"/>
        <v>25.083333333333332</v>
      </c>
      <c r="H17" s="75">
        <f>SUM(H18:H19)</f>
        <v>2</v>
      </c>
      <c r="I17" s="75">
        <f>SUM(I18:I19)</f>
        <v>48</v>
      </c>
      <c r="J17" s="80">
        <f>SUM(J18:J19)</f>
        <v>23</v>
      </c>
      <c r="K17" s="80">
        <f>SUM(K18:K19)</f>
        <v>0</v>
      </c>
      <c r="L17" s="80">
        <f>SUM(L18:L19)</f>
        <v>27</v>
      </c>
      <c r="M17" s="166">
        <f>+I17/H17</f>
        <v>24</v>
      </c>
      <c r="N17" s="75">
        <f t="shared" si="3"/>
        <v>26</v>
      </c>
      <c r="O17" s="75">
        <f t="shared" si="1"/>
        <v>650</v>
      </c>
      <c r="P17" s="80">
        <f t="shared" si="1"/>
        <v>290</v>
      </c>
      <c r="Q17" s="80">
        <f t="shared" si="1"/>
        <v>14</v>
      </c>
      <c r="R17" s="80">
        <f t="shared" si="1"/>
        <v>146</v>
      </c>
      <c r="S17" s="74">
        <f t="shared" si="2"/>
        <v>25</v>
      </c>
    </row>
    <row r="18" spans="1:19" ht="12">
      <c r="A18" s="77" t="s">
        <v>34</v>
      </c>
      <c r="B18" s="46">
        <v>12</v>
      </c>
      <c r="C18" s="47">
        <v>300</v>
      </c>
      <c r="D18" s="78">
        <v>128</v>
      </c>
      <c r="E18" s="78">
        <v>5</v>
      </c>
      <c r="F18" s="78">
        <v>59</v>
      </c>
      <c r="G18" s="79">
        <f t="shared" si="0"/>
        <v>25</v>
      </c>
      <c r="H18" s="46">
        <v>2</v>
      </c>
      <c r="I18" s="47">
        <v>48</v>
      </c>
      <c r="J18" s="177">
        <v>23</v>
      </c>
      <c r="K18" s="177"/>
      <c r="L18" s="177">
        <v>27</v>
      </c>
      <c r="M18" s="162">
        <f>+I18/H18</f>
        <v>24</v>
      </c>
      <c r="N18" s="46">
        <f t="shared" si="3"/>
        <v>14</v>
      </c>
      <c r="O18" s="47">
        <f t="shared" si="1"/>
        <v>348</v>
      </c>
      <c r="P18" s="78">
        <f t="shared" si="1"/>
        <v>151</v>
      </c>
      <c r="Q18" s="78">
        <f t="shared" si="1"/>
        <v>5</v>
      </c>
      <c r="R18" s="78">
        <f t="shared" si="1"/>
        <v>86</v>
      </c>
      <c r="S18" s="79">
        <f t="shared" si="2"/>
        <v>24.857142857142858</v>
      </c>
    </row>
    <row r="19" spans="1:19" ht="12">
      <c r="A19" s="77" t="s">
        <v>35</v>
      </c>
      <c r="B19" s="46">
        <v>12</v>
      </c>
      <c r="C19" s="47">
        <v>302</v>
      </c>
      <c r="D19" s="78">
        <v>139</v>
      </c>
      <c r="E19" s="78">
        <v>9</v>
      </c>
      <c r="F19" s="78">
        <v>60</v>
      </c>
      <c r="G19" s="79">
        <f t="shared" si="0"/>
        <v>25.166666666666668</v>
      </c>
      <c r="H19" s="123"/>
      <c r="I19" s="165"/>
      <c r="J19" s="175"/>
      <c r="K19" s="153"/>
      <c r="L19" s="153"/>
      <c r="M19" s="166"/>
      <c r="N19" s="46">
        <f t="shared" si="3"/>
        <v>12</v>
      </c>
      <c r="O19" s="47">
        <f t="shared" si="1"/>
        <v>302</v>
      </c>
      <c r="P19" s="78">
        <f t="shared" si="1"/>
        <v>139</v>
      </c>
      <c r="Q19" s="78">
        <f t="shared" si="1"/>
        <v>9</v>
      </c>
      <c r="R19" s="78">
        <f t="shared" si="1"/>
        <v>60</v>
      </c>
      <c r="S19" s="79">
        <f t="shared" si="2"/>
        <v>25.166666666666668</v>
      </c>
    </row>
    <row r="20" spans="1:21" ht="12">
      <c r="A20" s="69" t="s">
        <v>36</v>
      </c>
      <c r="B20" s="70">
        <v>15</v>
      </c>
      <c r="C20" s="71">
        <v>365</v>
      </c>
      <c r="D20" s="72">
        <v>161</v>
      </c>
      <c r="E20" s="72">
        <v>11</v>
      </c>
      <c r="F20" s="72">
        <v>115</v>
      </c>
      <c r="G20" s="74">
        <f t="shared" si="0"/>
        <v>24.333333333333332</v>
      </c>
      <c r="H20" s="70">
        <v>12</v>
      </c>
      <c r="I20" s="71">
        <v>281</v>
      </c>
      <c r="J20" s="178">
        <v>137</v>
      </c>
      <c r="K20" s="178">
        <v>4</v>
      </c>
      <c r="L20" s="178">
        <v>105</v>
      </c>
      <c r="M20" s="166">
        <f>+I20/H20</f>
        <v>23.416666666666668</v>
      </c>
      <c r="N20" s="70">
        <f t="shared" si="3"/>
        <v>27</v>
      </c>
      <c r="O20" s="71">
        <f t="shared" si="1"/>
        <v>646</v>
      </c>
      <c r="P20" s="72">
        <f t="shared" si="1"/>
        <v>298</v>
      </c>
      <c r="Q20" s="72">
        <f t="shared" si="1"/>
        <v>15</v>
      </c>
      <c r="R20" s="72">
        <f t="shared" si="1"/>
        <v>220</v>
      </c>
      <c r="S20" s="74">
        <f t="shared" si="2"/>
        <v>23.925925925925927</v>
      </c>
      <c r="U20" s="22"/>
    </row>
    <row r="21" spans="1:19" ht="12">
      <c r="A21" s="69" t="s">
        <v>37</v>
      </c>
      <c r="B21" s="81">
        <f>SUM(B22:B24)</f>
        <v>30</v>
      </c>
      <c r="C21" s="81">
        <f>SUM(C22:C24)</f>
        <v>723</v>
      </c>
      <c r="D21" s="82">
        <f>SUM(D22:D24)</f>
        <v>344</v>
      </c>
      <c r="E21" s="82">
        <f>SUM(E22:E24)</f>
        <v>17</v>
      </c>
      <c r="F21" s="82">
        <f>SUM(F22:F24)</f>
        <v>70</v>
      </c>
      <c r="G21" s="74">
        <f t="shared" si="0"/>
        <v>24.1</v>
      </c>
      <c r="H21" s="75">
        <f>SUM(H22:H24)</f>
        <v>5</v>
      </c>
      <c r="I21" s="75">
        <f>SUM(I22:I24)</f>
        <v>125</v>
      </c>
      <c r="J21" s="82">
        <f>SUM(J22:J24)</f>
        <v>69</v>
      </c>
      <c r="K21" s="82">
        <f>SUM(K22:K24)</f>
        <v>2</v>
      </c>
      <c r="L21" s="80">
        <f>SUM(L22:L24)</f>
        <v>18</v>
      </c>
      <c r="M21" s="166">
        <f>+I21/H21</f>
        <v>25</v>
      </c>
      <c r="N21" s="81">
        <f t="shared" si="3"/>
        <v>35</v>
      </c>
      <c r="O21" s="81">
        <f t="shared" si="1"/>
        <v>848</v>
      </c>
      <c r="P21" s="82">
        <f t="shared" si="1"/>
        <v>413</v>
      </c>
      <c r="Q21" s="82">
        <f t="shared" si="1"/>
        <v>19</v>
      </c>
      <c r="R21" s="82">
        <f t="shared" si="1"/>
        <v>88</v>
      </c>
      <c r="S21" s="74">
        <f t="shared" si="2"/>
        <v>24.228571428571428</v>
      </c>
    </row>
    <row r="22" spans="1:21" ht="12.75">
      <c r="A22" s="77" t="s">
        <v>38</v>
      </c>
      <c r="B22" s="83">
        <v>7</v>
      </c>
      <c r="C22" s="84">
        <v>162</v>
      </c>
      <c r="D22" s="78">
        <v>78</v>
      </c>
      <c r="E22" s="78">
        <v>2</v>
      </c>
      <c r="F22" s="78">
        <v>10</v>
      </c>
      <c r="G22" s="79">
        <f t="shared" si="0"/>
        <v>23.142857142857142</v>
      </c>
      <c r="H22" s="123"/>
      <c r="I22" s="165"/>
      <c r="J22" s="175"/>
      <c r="K22" s="153"/>
      <c r="L22" s="153"/>
      <c r="M22" s="166"/>
      <c r="N22" s="83">
        <f t="shared" si="3"/>
        <v>7</v>
      </c>
      <c r="O22" s="84">
        <f t="shared" si="1"/>
        <v>162</v>
      </c>
      <c r="P22" s="78">
        <f t="shared" si="1"/>
        <v>78</v>
      </c>
      <c r="Q22" s="78">
        <f t="shared" si="1"/>
        <v>2</v>
      </c>
      <c r="R22" s="78">
        <f t="shared" si="1"/>
        <v>10</v>
      </c>
      <c r="S22" s="79">
        <f t="shared" si="2"/>
        <v>23.142857142857142</v>
      </c>
      <c r="U22" s="22"/>
    </row>
    <row r="23" spans="1:19" ht="12">
      <c r="A23" s="77" t="s">
        <v>39</v>
      </c>
      <c r="B23" s="85">
        <v>8</v>
      </c>
      <c r="C23" s="84">
        <v>199</v>
      </c>
      <c r="D23" s="78">
        <v>94</v>
      </c>
      <c r="E23" s="78">
        <v>7</v>
      </c>
      <c r="F23" s="78">
        <v>20</v>
      </c>
      <c r="G23" s="79">
        <f t="shared" si="0"/>
        <v>24.875</v>
      </c>
      <c r="H23" s="123"/>
      <c r="I23" s="165"/>
      <c r="J23" s="175"/>
      <c r="K23" s="153"/>
      <c r="L23" s="153"/>
      <c r="M23" s="166"/>
      <c r="N23" s="85">
        <f t="shared" si="3"/>
        <v>8</v>
      </c>
      <c r="O23" s="84">
        <f t="shared" si="1"/>
        <v>199</v>
      </c>
      <c r="P23" s="78">
        <f t="shared" si="1"/>
        <v>94</v>
      </c>
      <c r="Q23" s="78">
        <f t="shared" si="1"/>
        <v>7</v>
      </c>
      <c r="R23" s="78">
        <f t="shared" si="1"/>
        <v>20</v>
      </c>
      <c r="S23" s="79">
        <f t="shared" si="2"/>
        <v>24.875</v>
      </c>
    </row>
    <row r="24" spans="1:19" ht="12">
      <c r="A24" s="77" t="s">
        <v>40</v>
      </c>
      <c r="B24" s="84">
        <v>15</v>
      </c>
      <c r="C24" s="47">
        <v>362</v>
      </c>
      <c r="D24" s="78">
        <v>172</v>
      </c>
      <c r="E24" s="78">
        <v>8</v>
      </c>
      <c r="F24" s="78">
        <v>40</v>
      </c>
      <c r="G24" s="79">
        <f t="shared" si="0"/>
        <v>24.133333333333333</v>
      </c>
      <c r="H24" s="46">
        <v>5</v>
      </c>
      <c r="I24" s="47">
        <v>125</v>
      </c>
      <c r="J24" s="177">
        <v>69</v>
      </c>
      <c r="K24" s="177">
        <v>2</v>
      </c>
      <c r="L24" s="177">
        <v>18</v>
      </c>
      <c r="M24" s="162">
        <f>+I24/H24</f>
        <v>25</v>
      </c>
      <c r="N24" s="84">
        <f t="shared" si="3"/>
        <v>20</v>
      </c>
      <c r="O24" s="47">
        <f t="shared" si="1"/>
        <v>487</v>
      </c>
      <c r="P24" s="78">
        <f t="shared" si="1"/>
        <v>241</v>
      </c>
      <c r="Q24" s="78">
        <f t="shared" si="1"/>
        <v>10</v>
      </c>
      <c r="R24" s="78">
        <f t="shared" si="1"/>
        <v>58</v>
      </c>
      <c r="S24" s="79">
        <f t="shared" si="2"/>
        <v>24.35</v>
      </c>
    </row>
    <row r="25" spans="1:19" ht="12">
      <c r="A25" s="69" t="s">
        <v>41</v>
      </c>
      <c r="B25" s="75">
        <f>SUM(B26:B27)</f>
        <v>19</v>
      </c>
      <c r="C25" s="75">
        <f>SUM(C26:C27)</f>
        <v>481</v>
      </c>
      <c r="D25" s="80">
        <f>SUM(D26:D27)</f>
        <v>223</v>
      </c>
      <c r="E25" s="80">
        <f>SUM(E26:E27)</f>
        <v>11</v>
      </c>
      <c r="F25" s="80">
        <f>SUM(F26:F27)</f>
        <v>57</v>
      </c>
      <c r="G25" s="74">
        <f t="shared" si="0"/>
        <v>25.31578947368421</v>
      </c>
      <c r="H25" s="75">
        <f>SUM(H26:H27)</f>
        <v>13</v>
      </c>
      <c r="I25" s="75">
        <f>SUM(I26:I27)</f>
        <v>302</v>
      </c>
      <c r="J25" s="80">
        <f>SUM(J26:J27)</f>
        <v>152</v>
      </c>
      <c r="K25" s="80">
        <f>SUM(K26:K27)</f>
        <v>9</v>
      </c>
      <c r="L25" s="80">
        <f>SUM(L26:L27)</f>
        <v>103</v>
      </c>
      <c r="M25" s="166">
        <f>+I25/H25</f>
        <v>23.23076923076923</v>
      </c>
      <c r="N25" s="75">
        <f t="shared" si="3"/>
        <v>32</v>
      </c>
      <c r="O25" s="75">
        <f t="shared" si="1"/>
        <v>783</v>
      </c>
      <c r="P25" s="80">
        <f t="shared" si="1"/>
        <v>375</v>
      </c>
      <c r="Q25" s="80">
        <f t="shared" si="1"/>
        <v>20</v>
      </c>
      <c r="R25" s="80">
        <f t="shared" si="1"/>
        <v>160</v>
      </c>
      <c r="S25" s="74">
        <f t="shared" si="2"/>
        <v>24.46875</v>
      </c>
    </row>
    <row r="26" spans="1:19" ht="12">
      <c r="A26" s="77" t="s">
        <v>42</v>
      </c>
      <c r="B26" s="46">
        <v>9</v>
      </c>
      <c r="C26" s="47">
        <v>228</v>
      </c>
      <c r="D26" s="78">
        <v>111</v>
      </c>
      <c r="E26" s="78">
        <v>6</v>
      </c>
      <c r="F26" s="78">
        <v>43</v>
      </c>
      <c r="G26" s="79">
        <f t="shared" si="0"/>
        <v>25.333333333333332</v>
      </c>
      <c r="H26" s="123"/>
      <c r="I26" s="165"/>
      <c r="J26" s="175"/>
      <c r="K26" s="153"/>
      <c r="L26" s="153"/>
      <c r="M26" s="166"/>
      <c r="N26" s="46">
        <f t="shared" si="3"/>
        <v>9</v>
      </c>
      <c r="O26" s="47">
        <f t="shared" si="1"/>
        <v>228</v>
      </c>
      <c r="P26" s="78">
        <f t="shared" si="1"/>
        <v>111</v>
      </c>
      <c r="Q26" s="78">
        <f t="shared" si="1"/>
        <v>6</v>
      </c>
      <c r="R26" s="78">
        <f t="shared" si="1"/>
        <v>43</v>
      </c>
      <c r="S26" s="79">
        <f t="shared" si="2"/>
        <v>25.333333333333332</v>
      </c>
    </row>
    <row r="27" spans="1:19" ht="12">
      <c r="A27" s="77" t="s">
        <v>43</v>
      </c>
      <c r="B27" s="46">
        <v>10</v>
      </c>
      <c r="C27" s="47">
        <v>253</v>
      </c>
      <c r="D27" s="78">
        <v>112</v>
      </c>
      <c r="E27" s="78">
        <v>5</v>
      </c>
      <c r="F27" s="78">
        <v>14</v>
      </c>
      <c r="G27" s="79">
        <f t="shared" si="0"/>
        <v>25.3</v>
      </c>
      <c r="H27" s="46">
        <v>13</v>
      </c>
      <c r="I27" s="47">
        <v>302</v>
      </c>
      <c r="J27" s="177">
        <v>152</v>
      </c>
      <c r="K27" s="177">
        <v>9</v>
      </c>
      <c r="L27" s="177">
        <v>103</v>
      </c>
      <c r="M27" s="162">
        <f>+I27/H27</f>
        <v>23.23076923076923</v>
      </c>
      <c r="N27" s="46">
        <f t="shared" si="3"/>
        <v>23</v>
      </c>
      <c r="O27" s="47">
        <f t="shared" si="1"/>
        <v>555</v>
      </c>
      <c r="P27" s="78">
        <f t="shared" si="1"/>
        <v>264</v>
      </c>
      <c r="Q27" s="78">
        <f t="shared" si="1"/>
        <v>14</v>
      </c>
      <c r="R27" s="78">
        <f t="shared" si="1"/>
        <v>117</v>
      </c>
      <c r="S27" s="79">
        <f t="shared" si="2"/>
        <v>24.130434782608695</v>
      </c>
    </row>
    <row r="28" spans="1:19" ht="12">
      <c r="A28" s="69" t="s">
        <v>16</v>
      </c>
      <c r="B28" s="75">
        <f>SUM(B29:B30)</f>
        <v>23</v>
      </c>
      <c r="C28" s="75">
        <f>SUM(C29:C30)</f>
        <v>566</v>
      </c>
      <c r="D28" s="80">
        <f>SUM(D29:D30)</f>
        <v>268</v>
      </c>
      <c r="E28" s="80">
        <f>SUM(E29:E30)</f>
        <v>11</v>
      </c>
      <c r="F28" s="80">
        <f>SUM(F29:F30)</f>
        <v>92</v>
      </c>
      <c r="G28" s="74">
        <f t="shared" si="0"/>
        <v>24.608695652173914</v>
      </c>
      <c r="H28" s="75">
        <f>SUM(H29:H30)</f>
        <v>2</v>
      </c>
      <c r="I28" s="75">
        <f>SUM(I29:I30)</f>
        <v>50</v>
      </c>
      <c r="J28" s="80">
        <f>SUM(J29:J30)</f>
        <v>20</v>
      </c>
      <c r="K28" s="80">
        <f>SUM(K29:K30)</f>
        <v>1</v>
      </c>
      <c r="L28" s="80">
        <f>SUM(L29:L30)</f>
        <v>8</v>
      </c>
      <c r="M28" s="166">
        <f>+I28/H28</f>
        <v>25</v>
      </c>
      <c r="N28" s="75">
        <f t="shared" si="3"/>
        <v>25</v>
      </c>
      <c r="O28" s="75">
        <f t="shared" si="1"/>
        <v>616</v>
      </c>
      <c r="P28" s="80">
        <f t="shared" si="1"/>
        <v>288</v>
      </c>
      <c r="Q28" s="80">
        <f t="shared" si="1"/>
        <v>12</v>
      </c>
      <c r="R28" s="80">
        <f t="shared" si="1"/>
        <v>100</v>
      </c>
      <c r="S28" s="74">
        <f t="shared" si="2"/>
        <v>24.64</v>
      </c>
    </row>
    <row r="29" spans="1:19" ht="12">
      <c r="A29" s="77" t="s">
        <v>44</v>
      </c>
      <c r="B29" s="46">
        <v>19</v>
      </c>
      <c r="C29" s="47">
        <v>467</v>
      </c>
      <c r="D29" s="78">
        <v>221</v>
      </c>
      <c r="E29" s="78">
        <v>8</v>
      </c>
      <c r="F29" s="78">
        <v>67</v>
      </c>
      <c r="G29" s="79">
        <f t="shared" si="0"/>
        <v>24.57894736842105</v>
      </c>
      <c r="H29" s="123"/>
      <c r="I29" s="165"/>
      <c r="J29" s="175"/>
      <c r="K29" s="153"/>
      <c r="L29" s="153"/>
      <c r="M29" s="166"/>
      <c r="N29" s="46">
        <f t="shared" si="3"/>
        <v>19</v>
      </c>
      <c r="O29" s="47">
        <f t="shared" si="1"/>
        <v>467</v>
      </c>
      <c r="P29" s="78">
        <f t="shared" si="1"/>
        <v>221</v>
      </c>
      <c r="Q29" s="78">
        <f t="shared" si="1"/>
        <v>8</v>
      </c>
      <c r="R29" s="78">
        <f t="shared" si="1"/>
        <v>67</v>
      </c>
      <c r="S29" s="79">
        <f t="shared" si="2"/>
        <v>24.57894736842105</v>
      </c>
    </row>
    <row r="30" spans="1:19" ht="12">
      <c r="A30" s="77" t="s">
        <v>45</v>
      </c>
      <c r="B30" s="46">
        <v>4</v>
      </c>
      <c r="C30" s="47">
        <v>99</v>
      </c>
      <c r="D30" s="78">
        <v>47</v>
      </c>
      <c r="E30" s="78">
        <v>3</v>
      </c>
      <c r="F30" s="78">
        <v>25</v>
      </c>
      <c r="G30" s="79">
        <f t="shared" si="0"/>
        <v>24.75</v>
      </c>
      <c r="H30" s="46">
        <v>2</v>
      </c>
      <c r="I30" s="47">
        <v>50</v>
      </c>
      <c r="J30" s="177">
        <v>20</v>
      </c>
      <c r="K30" s="177">
        <v>1</v>
      </c>
      <c r="L30" s="177">
        <v>8</v>
      </c>
      <c r="M30" s="162">
        <f>+I30/H30</f>
        <v>25</v>
      </c>
      <c r="N30" s="46">
        <f t="shared" si="3"/>
        <v>6</v>
      </c>
      <c r="O30" s="47">
        <f t="shared" si="1"/>
        <v>149</v>
      </c>
      <c r="P30" s="78">
        <f t="shared" si="1"/>
        <v>67</v>
      </c>
      <c r="Q30" s="78">
        <f t="shared" si="1"/>
        <v>4</v>
      </c>
      <c r="R30" s="78">
        <f t="shared" si="1"/>
        <v>33</v>
      </c>
      <c r="S30" s="79">
        <f t="shared" si="2"/>
        <v>24.833333333333332</v>
      </c>
    </row>
    <row r="31" spans="1:19" ht="12">
      <c r="A31" s="69" t="s">
        <v>17</v>
      </c>
      <c r="B31" s="75">
        <f>SUM(B32:B33)</f>
        <v>23</v>
      </c>
      <c r="C31" s="75">
        <f>SUM(C32:C33)</f>
        <v>573</v>
      </c>
      <c r="D31" s="80">
        <f>SUM(D32:D33)</f>
        <v>273</v>
      </c>
      <c r="E31" s="80">
        <f>SUM(E32:E33)</f>
        <v>15</v>
      </c>
      <c r="F31" s="80">
        <f>SUM(F32:F33)</f>
        <v>39</v>
      </c>
      <c r="G31" s="74">
        <f t="shared" si="0"/>
        <v>24.91304347826087</v>
      </c>
      <c r="H31" s="75">
        <f>SUM(H32:H33)</f>
        <v>15</v>
      </c>
      <c r="I31" s="75">
        <f>SUM(I32:I33)</f>
        <v>362</v>
      </c>
      <c r="J31" s="80">
        <f>SUM(J32:J33)</f>
        <v>172</v>
      </c>
      <c r="K31" s="80">
        <f>SUM(K32:K33)</f>
        <v>1</v>
      </c>
      <c r="L31" s="80">
        <f>SUM(L32:L33)</f>
        <v>43</v>
      </c>
      <c r="M31" s="166">
        <f>+I31/H31</f>
        <v>24.133333333333333</v>
      </c>
      <c r="N31" s="75">
        <f t="shared" si="3"/>
        <v>38</v>
      </c>
      <c r="O31" s="75">
        <f t="shared" si="1"/>
        <v>935</v>
      </c>
      <c r="P31" s="80">
        <f t="shared" si="1"/>
        <v>445</v>
      </c>
      <c r="Q31" s="80">
        <f t="shared" si="1"/>
        <v>16</v>
      </c>
      <c r="R31" s="80">
        <f t="shared" si="1"/>
        <v>82</v>
      </c>
      <c r="S31" s="74">
        <f t="shared" si="2"/>
        <v>24.605263157894736</v>
      </c>
    </row>
    <row r="32" spans="1:19" ht="12">
      <c r="A32" s="86" t="s">
        <v>46</v>
      </c>
      <c r="B32" s="46">
        <v>14</v>
      </c>
      <c r="C32" s="47">
        <v>343</v>
      </c>
      <c r="D32" s="78">
        <v>165</v>
      </c>
      <c r="E32" s="78">
        <v>9</v>
      </c>
      <c r="F32" s="78">
        <v>20</v>
      </c>
      <c r="G32" s="79">
        <f t="shared" si="0"/>
        <v>24.5</v>
      </c>
      <c r="H32" s="46">
        <v>11</v>
      </c>
      <c r="I32" s="47">
        <v>264</v>
      </c>
      <c r="J32" s="177">
        <v>129</v>
      </c>
      <c r="K32" s="177"/>
      <c r="L32" s="177">
        <v>26</v>
      </c>
      <c r="M32" s="162">
        <f>+I32/H32</f>
        <v>24</v>
      </c>
      <c r="N32" s="46">
        <f t="shared" si="3"/>
        <v>25</v>
      </c>
      <c r="O32" s="47">
        <f t="shared" si="1"/>
        <v>607</v>
      </c>
      <c r="P32" s="78">
        <f t="shared" si="1"/>
        <v>294</v>
      </c>
      <c r="Q32" s="78">
        <f t="shared" si="1"/>
        <v>9</v>
      </c>
      <c r="R32" s="78">
        <f t="shared" si="1"/>
        <v>46</v>
      </c>
      <c r="S32" s="79">
        <f t="shared" si="2"/>
        <v>24.28</v>
      </c>
    </row>
    <row r="33" spans="1:19" ht="12">
      <c r="A33" s="86" t="s">
        <v>47</v>
      </c>
      <c r="B33" s="48">
        <v>9</v>
      </c>
      <c r="C33" s="47">
        <v>230</v>
      </c>
      <c r="D33" s="88">
        <v>108</v>
      </c>
      <c r="E33" s="88">
        <v>6</v>
      </c>
      <c r="F33" s="88">
        <v>19</v>
      </c>
      <c r="G33" s="87">
        <f t="shared" si="0"/>
        <v>25.555555555555557</v>
      </c>
      <c r="H33" s="48">
        <v>4</v>
      </c>
      <c r="I33" s="47">
        <v>98</v>
      </c>
      <c r="J33" s="186">
        <v>43</v>
      </c>
      <c r="K33" s="186">
        <v>1</v>
      </c>
      <c r="L33" s="186">
        <v>17</v>
      </c>
      <c r="M33" s="170">
        <f>+I33/H33</f>
        <v>24.5</v>
      </c>
      <c r="N33" s="48">
        <f t="shared" si="3"/>
        <v>13</v>
      </c>
      <c r="O33" s="47">
        <f t="shared" si="1"/>
        <v>328</v>
      </c>
      <c r="P33" s="88">
        <f t="shared" si="1"/>
        <v>151</v>
      </c>
      <c r="Q33" s="88">
        <f t="shared" si="1"/>
        <v>7</v>
      </c>
      <c r="R33" s="88">
        <f t="shared" si="1"/>
        <v>36</v>
      </c>
      <c r="S33" s="87">
        <f t="shared" si="2"/>
        <v>25.23076923076923</v>
      </c>
    </row>
    <row r="34" spans="1:19" ht="12">
      <c r="A34" s="89" t="s">
        <v>48</v>
      </c>
      <c r="B34" s="90">
        <f>+B9+B10+B14+B17+B20+B21+B25+B28+B31</f>
        <v>208</v>
      </c>
      <c r="C34" s="91">
        <f>+C9+C10+C14+C17+C20+C21+C25+C28+C31</f>
        <v>5137</v>
      </c>
      <c r="D34" s="92">
        <f>+D9+D10+D14+D17+D20+D21+D25+D28+D31</f>
        <v>2393</v>
      </c>
      <c r="E34" s="93">
        <f>+E9+E10+E14+E17+E20+E21+E25+E28+E31</f>
        <v>130</v>
      </c>
      <c r="F34" s="93">
        <f>+F9+F10+F14+F17+F20+F21+F25+F28+F31</f>
        <v>996</v>
      </c>
      <c r="G34" s="94">
        <f t="shared" si="0"/>
        <v>24.697115384615383</v>
      </c>
      <c r="H34" s="90">
        <f>+H9+H10+H14+H17+H20+H21+H25+H28+H31</f>
        <v>63</v>
      </c>
      <c r="I34" s="91">
        <f>+I10+I14+I17+I20+I21+I25+I28+I31</f>
        <v>1495</v>
      </c>
      <c r="J34" s="92">
        <f>+J10+J14+J17+J20+J21+J25+J28+J31</f>
        <v>748</v>
      </c>
      <c r="K34" s="95">
        <f>+K10+K14+K17+K20+K21+K25+K28+K31</f>
        <v>21</v>
      </c>
      <c r="L34" s="95">
        <f>+L10+L14+L17+L20+L21+L25+L28+L31</f>
        <v>443</v>
      </c>
      <c r="M34" s="96">
        <f>+I34/H34</f>
        <v>23.73015873015873</v>
      </c>
      <c r="N34" s="90">
        <f>H34+B34</f>
        <v>271</v>
      </c>
      <c r="O34" s="91">
        <f>I34+C34</f>
        <v>6632</v>
      </c>
      <c r="P34" s="92">
        <f>J34+D34</f>
        <v>3141</v>
      </c>
      <c r="Q34" s="93">
        <f>K34+E34</f>
        <v>151</v>
      </c>
      <c r="R34" s="93">
        <f>L34+F34</f>
        <v>1439</v>
      </c>
      <c r="S34" s="94">
        <f t="shared" si="2"/>
        <v>24.472324723247233</v>
      </c>
    </row>
    <row r="35" spans="1:19" ht="12">
      <c r="A35" s="97" t="s">
        <v>79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4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97" t="s">
        <v>77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97" t="s">
        <v>78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7">
    <mergeCell ref="B3:S3"/>
    <mergeCell ref="B4:G4"/>
    <mergeCell ref="H4:M4"/>
    <mergeCell ref="N4:S4"/>
    <mergeCell ref="C5:G5"/>
    <mergeCell ref="I5:M5"/>
    <mergeCell ref="O5:S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&amp;R400042.xls</oddHeader>
    <oddFooter>&amp;LComune di Bologna - Dipartimento Programmazione</oddFooter>
  </headerFooter>
  <ignoredErrors>
    <ignoredError sqref="D8:S8 D9:F9 N1" numberStoredAsText="1"/>
    <ignoredError sqref="G9:S9 M10:S34 D10:F16 G10:L13 D18:F34 H18:L34 H14:L16 H17:L17 D17:F17 B17:C17 G18:G34 G14:G16 G17" numberStoredAsText="1" unlockedFormula="1"/>
    <ignoredError sqref="B10:C16 B18:C34" unlockedFormula="1"/>
    <ignoredError sqref="H17:L17 D17:F17" numberStoredAsText="1" formulaRange="1" unlockedFormula="1"/>
    <ignoredError sqref="B17:C17" formulaRange="1" unlockedFormula="1"/>
    <ignoredError sqref="G18:G34 G14:G16" numberStoredAsText="1" formula="1" unlockedFormula="1"/>
    <ignoredError sqref="G17" numberStoredAsText="1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6.253906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1" t="s">
        <v>25</v>
      </c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0">
        <v>18</v>
      </c>
      <c r="C9" s="71">
        <v>447</v>
      </c>
      <c r="D9" s="72">
        <v>204</v>
      </c>
      <c r="E9" s="72">
        <v>16</v>
      </c>
      <c r="F9" s="72">
        <v>113</v>
      </c>
      <c r="G9" s="74">
        <f aca="true" t="shared" si="0" ref="G9:G34">+C9/B9</f>
        <v>24.833333333333332</v>
      </c>
      <c r="H9" s="75"/>
      <c r="I9" s="165"/>
      <c r="J9" s="76"/>
      <c r="K9" s="80"/>
      <c r="L9" s="80"/>
      <c r="M9" s="166"/>
      <c r="N9" s="70">
        <f>B9+H9</f>
        <v>18</v>
      </c>
      <c r="O9" s="71">
        <f aca="true" t="shared" si="1" ref="O9:R33">C9+I9</f>
        <v>447</v>
      </c>
      <c r="P9" s="72">
        <f t="shared" si="1"/>
        <v>204</v>
      </c>
      <c r="Q9" s="72">
        <f t="shared" si="1"/>
        <v>16</v>
      </c>
      <c r="R9" s="72">
        <f t="shared" si="1"/>
        <v>113</v>
      </c>
      <c r="S9" s="74">
        <f aca="true" t="shared" si="2" ref="S9:S34">+O9/N9</f>
        <v>24.833333333333332</v>
      </c>
    </row>
    <row r="10" spans="1:19" ht="12">
      <c r="A10" s="69" t="s">
        <v>97</v>
      </c>
      <c r="B10" s="75">
        <f>+B11+B12+B13</f>
        <v>38</v>
      </c>
      <c r="C10" s="75">
        <f>+C11+C12+C13</f>
        <v>933</v>
      </c>
      <c r="D10" s="76">
        <f>+D11+D12+D13</f>
        <v>432</v>
      </c>
      <c r="E10" s="76">
        <f>+E11+E12+E13</f>
        <v>24</v>
      </c>
      <c r="F10" s="76">
        <f>+F11+F12+F13</f>
        <v>279</v>
      </c>
      <c r="G10" s="74">
        <f t="shared" si="0"/>
        <v>24.55263157894737</v>
      </c>
      <c r="H10" s="75">
        <f>SUM(H11:H13)</f>
        <v>10</v>
      </c>
      <c r="I10" s="99">
        <f>SUM(I11:I13)</f>
        <v>229</v>
      </c>
      <c r="J10" s="76">
        <f>SUM(J11:J13)</f>
        <v>109</v>
      </c>
      <c r="K10" s="76">
        <f>SUM(K11:K13)</f>
        <v>6</v>
      </c>
      <c r="L10" s="76">
        <f>SUM(L11:L13)</f>
        <v>95</v>
      </c>
      <c r="M10" s="166">
        <f>+I10/H10</f>
        <v>22.9</v>
      </c>
      <c r="N10" s="75">
        <f aca="true" t="shared" si="3" ref="N10:N33">B10+H10</f>
        <v>48</v>
      </c>
      <c r="O10" s="75">
        <f t="shared" si="1"/>
        <v>1162</v>
      </c>
      <c r="P10" s="76">
        <f t="shared" si="1"/>
        <v>541</v>
      </c>
      <c r="Q10" s="76">
        <f t="shared" si="1"/>
        <v>30</v>
      </c>
      <c r="R10" s="76">
        <f t="shared" si="1"/>
        <v>374</v>
      </c>
      <c r="S10" s="74">
        <f t="shared" si="2"/>
        <v>24.208333333333332</v>
      </c>
    </row>
    <row r="11" spans="1:19" ht="12">
      <c r="A11" s="77" t="s">
        <v>29</v>
      </c>
      <c r="B11" s="46">
        <v>19</v>
      </c>
      <c r="C11" s="47">
        <v>468</v>
      </c>
      <c r="D11" s="78">
        <v>223</v>
      </c>
      <c r="E11" s="78">
        <v>17</v>
      </c>
      <c r="F11" s="78">
        <v>170</v>
      </c>
      <c r="G11" s="79">
        <f t="shared" si="0"/>
        <v>24.63157894736842</v>
      </c>
      <c r="H11" s="46">
        <v>6</v>
      </c>
      <c r="I11" s="47">
        <v>134</v>
      </c>
      <c r="J11" s="177">
        <v>65</v>
      </c>
      <c r="K11" s="177">
        <v>3</v>
      </c>
      <c r="L11" s="177">
        <v>74</v>
      </c>
      <c r="M11" s="162">
        <f>+I11/H11</f>
        <v>22.333333333333332</v>
      </c>
      <c r="N11" s="46">
        <f t="shared" si="3"/>
        <v>25</v>
      </c>
      <c r="O11" s="47">
        <f t="shared" si="1"/>
        <v>602</v>
      </c>
      <c r="P11" s="78">
        <f t="shared" si="1"/>
        <v>288</v>
      </c>
      <c r="Q11" s="78">
        <f t="shared" si="1"/>
        <v>20</v>
      </c>
      <c r="R11" s="78">
        <f t="shared" si="1"/>
        <v>244</v>
      </c>
      <c r="S11" s="79">
        <f t="shared" si="2"/>
        <v>24.08</v>
      </c>
    </row>
    <row r="12" spans="1:19" ht="12">
      <c r="A12" s="77" t="s">
        <v>30</v>
      </c>
      <c r="B12" s="46">
        <v>10</v>
      </c>
      <c r="C12" s="47">
        <v>254</v>
      </c>
      <c r="D12" s="78">
        <v>113</v>
      </c>
      <c r="E12" s="78">
        <v>2</v>
      </c>
      <c r="F12" s="78">
        <v>49</v>
      </c>
      <c r="G12" s="79">
        <f t="shared" si="0"/>
        <v>25.4</v>
      </c>
      <c r="H12" s="46">
        <v>4</v>
      </c>
      <c r="I12" s="47">
        <v>95</v>
      </c>
      <c r="J12" s="177">
        <v>44</v>
      </c>
      <c r="K12" s="177">
        <v>3</v>
      </c>
      <c r="L12" s="177">
        <v>21</v>
      </c>
      <c r="M12" s="162">
        <f>+I12/H12</f>
        <v>23.75</v>
      </c>
      <c r="N12" s="46">
        <f t="shared" si="3"/>
        <v>14</v>
      </c>
      <c r="O12" s="47">
        <f t="shared" si="1"/>
        <v>349</v>
      </c>
      <c r="P12" s="78">
        <f t="shared" si="1"/>
        <v>157</v>
      </c>
      <c r="Q12" s="78">
        <f t="shared" si="1"/>
        <v>5</v>
      </c>
      <c r="R12" s="78">
        <f t="shared" si="1"/>
        <v>70</v>
      </c>
      <c r="S12" s="79">
        <f t="shared" si="2"/>
        <v>24.928571428571427</v>
      </c>
    </row>
    <row r="13" spans="1:19" ht="12">
      <c r="A13" s="77" t="s">
        <v>31</v>
      </c>
      <c r="B13" s="46">
        <v>9</v>
      </c>
      <c r="C13" s="47">
        <v>211</v>
      </c>
      <c r="D13" s="78">
        <v>96</v>
      </c>
      <c r="E13" s="78">
        <v>5</v>
      </c>
      <c r="F13" s="78">
        <v>60</v>
      </c>
      <c r="G13" s="79">
        <f t="shared" si="0"/>
        <v>23.444444444444443</v>
      </c>
      <c r="H13" s="123"/>
      <c r="I13" s="174"/>
      <c r="J13" s="175"/>
      <c r="K13" s="153"/>
      <c r="L13" s="153"/>
      <c r="M13" s="166"/>
      <c r="N13" s="46">
        <f t="shared" si="3"/>
        <v>9</v>
      </c>
      <c r="O13" s="47">
        <f t="shared" si="1"/>
        <v>211</v>
      </c>
      <c r="P13" s="78">
        <f t="shared" si="1"/>
        <v>96</v>
      </c>
      <c r="Q13" s="78">
        <f t="shared" si="1"/>
        <v>5</v>
      </c>
      <c r="R13" s="78">
        <f t="shared" si="1"/>
        <v>60</v>
      </c>
      <c r="S13" s="79">
        <f t="shared" si="2"/>
        <v>23.444444444444443</v>
      </c>
    </row>
    <row r="14" spans="1:19" ht="12">
      <c r="A14" s="69" t="s">
        <v>11</v>
      </c>
      <c r="B14" s="75">
        <f>SUM(B15:B16)</f>
        <v>17</v>
      </c>
      <c r="C14" s="75">
        <f>SUM(C15:C16)</f>
        <v>436</v>
      </c>
      <c r="D14" s="80">
        <f>SUM(D15:D16)</f>
        <v>206</v>
      </c>
      <c r="E14" s="80">
        <f>SUM(E15:E16)</f>
        <v>11</v>
      </c>
      <c r="F14" s="80">
        <f>SUM(F15:F16)</f>
        <v>80</v>
      </c>
      <c r="G14" s="74">
        <f t="shared" si="0"/>
        <v>25.647058823529413</v>
      </c>
      <c r="H14" s="75">
        <f>SUM(H15:H16)</f>
        <v>3</v>
      </c>
      <c r="I14" s="167">
        <f>SUM(I15:I16)</f>
        <v>73</v>
      </c>
      <c r="J14" s="80">
        <f>SUM(J15:J16)</f>
        <v>45</v>
      </c>
      <c r="K14" s="80">
        <f>SUM(K15:K16)</f>
        <v>1</v>
      </c>
      <c r="L14" s="80">
        <f>SUM(L15:L16)</f>
        <v>18</v>
      </c>
      <c r="M14" s="166">
        <f>+I14/H14</f>
        <v>24.333333333333332</v>
      </c>
      <c r="N14" s="75">
        <f t="shared" si="3"/>
        <v>20</v>
      </c>
      <c r="O14" s="75">
        <f t="shared" si="1"/>
        <v>509</v>
      </c>
      <c r="P14" s="80">
        <f t="shared" si="1"/>
        <v>251</v>
      </c>
      <c r="Q14" s="80">
        <f t="shared" si="1"/>
        <v>12</v>
      </c>
      <c r="R14" s="80">
        <f t="shared" si="1"/>
        <v>98</v>
      </c>
      <c r="S14" s="74">
        <f t="shared" si="2"/>
        <v>25.45</v>
      </c>
    </row>
    <row r="15" spans="1:19" ht="12">
      <c r="A15" s="77" t="s">
        <v>32</v>
      </c>
      <c r="B15" s="46">
        <v>5</v>
      </c>
      <c r="C15" s="47">
        <v>128</v>
      </c>
      <c r="D15" s="78">
        <v>67</v>
      </c>
      <c r="E15" s="78">
        <v>6</v>
      </c>
      <c r="F15" s="78">
        <v>14</v>
      </c>
      <c r="G15" s="79">
        <f t="shared" si="0"/>
        <v>25.6</v>
      </c>
      <c r="H15" s="46">
        <v>3</v>
      </c>
      <c r="I15" s="47">
        <v>73</v>
      </c>
      <c r="J15" s="177">
        <v>45</v>
      </c>
      <c r="K15" s="177">
        <v>1</v>
      </c>
      <c r="L15" s="177">
        <v>18</v>
      </c>
      <c r="M15" s="162">
        <f>+I15/H15</f>
        <v>24.333333333333332</v>
      </c>
      <c r="N15" s="46">
        <f t="shared" si="3"/>
        <v>8</v>
      </c>
      <c r="O15" s="47">
        <f t="shared" si="1"/>
        <v>201</v>
      </c>
      <c r="P15" s="78">
        <f t="shared" si="1"/>
        <v>112</v>
      </c>
      <c r="Q15" s="78">
        <f t="shared" si="1"/>
        <v>7</v>
      </c>
      <c r="R15" s="78">
        <f t="shared" si="1"/>
        <v>32</v>
      </c>
      <c r="S15" s="79">
        <f t="shared" si="2"/>
        <v>25.125</v>
      </c>
    </row>
    <row r="16" spans="1:19" ht="12">
      <c r="A16" s="77" t="s">
        <v>33</v>
      </c>
      <c r="B16" s="46">
        <v>12</v>
      </c>
      <c r="C16" s="47">
        <v>308</v>
      </c>
      <c r="D16" s="78">
        <v>139</v>
      </c>
      <c r="E16" s="78">
        <v>5</v>
      </c>
      <c r="F16" s="78">
        <v>66</v>
      </c>
      <c r="G16" s="79">
        <f t="shared" si="0"/>
        <v>25.666666666666668</v>
      </c>
      <c r="H16" s="123"/>
      <c r="I16" s="165"/>
      <c r="J16" s="176"/>
      <c r="K16" s="153"/>
      <c r="L16" s="153"/>
      <c r="M16" s="166"/>
      <c r="N16" s="46">
        <f t="shared" si="3"/>
        <v>12</v>
      </c>
      <c r="O16" s="47">
        <f t="shared" si="1"/>
        <v>308</v>
      </c>
      <c r="P16" s="78">
        <f t="shared" si="1"/>
        <v>139</v>
      </c>
      <c r="Q16" s="78">
        <f t="shared" si="1"/>
        <v>5</v>
      </c>
      <c r="R16" s="78">
        <f t="shared" si="1"/>
        <v>66</v>
      </c>
      <c r="S16" s="79">
        <f t="shared" si="2"/>
        <v>25.666666666666668</v>
      </c>
    </row>
    <row r="17" spans="1:19" ht="12">
      <c r="A17" s="69" t="s">
        <v>12</v>
      </c>
      <c r="B17" s="75">
        <f>SUM(B18:B19)</f>
        <v>24</v>
      </c>
      <c r="C17" s="75">
        <f>SUM(C18:C19)</f>
        <v>602</v>
      </c>
      <c r="D17" s="80">
        <f>SUM(D18:D19)</f>
        <v>283</v>
      </c>
      <c r="E17" s="80">
        <f>SUM(E18:E19)</f>
        <v>12</v>
      </c>
      <c r="F17" s="80">
        <f>SUM(F18:F19)</f>
        <v>89</v>
      </c>
      <c r="G17" s="74">
        <f t="shared" si="0"/>
        <v>25.083333333333332</v>
      </c>
      <c r="H17" s="75">
        <f>SUM(H18:H19)</f>
        <v>2</v>
      </c>
      <c r="I17" s="75">
        <f>SUM(I18:I19)</f>
        <v>48</v>
      </c>
      <c r="J17" s="80">
        <f>SUM(J18:J19)</f>
        <v>25</v>
      </c>
      <c r="K17" s="80">
        <f>SUM(K18:K19)</f>
        <v>2</v>
      </c>
      <c r="L17" s="80">
        <f>SUM(L18:L19)</f>
        <v>18</v>
      </c>
      <c r="M17" s="166">
        <f>+I17/H17</f>
        <v>24</v>
      </c>
      <c r="N17" s="75">
        <f t="shared" si="3"/>
        <v>26</v>
      </c>
      <c r="O17" s="75">
        <f t="shared" si="1"/>
        <v>650</v>
      </c>
      <c r="P17" s="80">
        <f t="shared" si="1"/>
        <v>308</v>
      </c>
      <c r="Q17" s="80">
        <f t="shared" si="1"/>
        <v>14</v>
      </c>
      <c r="R17" s="80">
        <f t="shared" si="1"/>
        <v>107</v>
      </c>
      <c r="S17" s="74">
        <f t="shared" si="2"/>
        <v>25</v>
      </c>
    </row>
    <row r="18" spans="1:19" ht="12">
      <c r="A18" s="77" t="s">
        <v>34</v>
      </c>
      <c r="B18" s="46">
        <v>12</v>
      </c>
      <c r="C18" s="47">
        <v>300</v>
      </c>
      <c r="D18" s="78">
        <v>140</v>
      </c>
      <c r="E18" s="78">
        <v>6</v>
      </c>
      <c r="F18" s="78">
        <v>39</v>
      </c>
      <c r="G18" s="79">
        <f t="shared" si="0"/>
        <v>25</v>
      </c>
      <c r="H18" s="46">
        <v>2</v>
      </c>
      <c r="I18" s="47">
        <v>48</v>
      </c>
      <c r="J18" s="177">
        <v>25</v>
      </c>
      <c r="K18" s="177">
        <v>2</v>
      </c>
      <c r="L18" s="177">
        <v>18</v>
      </c>
      <c r="M18" s="162">
        <f>+I18/H18</f>
        <v>24</v>
      </c>
      <c r="N18" s="46">
        <f t="shared" si="3"/>
        <v>14</v>
      </c>
      <c r="O18" s="47">
        <f t="shared" si="1"/>
        <v>348</v>
      </c>
      <c r="P18" s="78">
        <f t="shared" si="1"/>
        <v>165</v>
      </c>
      <c r="Q18" s="78">
        <f t="shared" si="1"/>
        <v>8</v>
      </c>
      <c r="R18" s="78">
        <f t="shared" si="1"/>
        <v>57</v>
      </c>
      <c r="S18" s="79">
        <f t="shared" si="2"/>
        <v>24.857142857142858</v>
      </c>
    </row>
    <row r="19" spans="1:19" ht="12">
      <c r="A19" s="77" t="s">
        <v>35</v>
      </c>
      <c r="B19" s="46">
        <v>12</v>
      </c>
      <c r="C19" s="47">
        <v>302</v>
      </c>
      <c r="D19" s="78">
        <v>143</v>
      </c>
      <c r="E19" s="78">
        <v>6</v>
      </c>
      <c r="F19" s="78">
        <v>50</v>
      </c>
      <c r="G19" s="79">
        <f t="shared" si="0"/>
        <v>25.166666666666668</v>
      </c>
      <c r="H19" s="123"/>
      <c r="I19" s="165"/>
      <c r="J19" s="175"/>
      <c r="K19" s="153"/>
      <c r="L19" s="153"/>
      <c r="M19" s="166"/>
      <c r="N19" s="46">
        <f t="shared" si="3"/>
        <v>12</v>
      </c>
      <c r="O19" s="47">
        <f t="shared" si="1"/>
        <v>302</v>
      </c>
      <c r="P19" s="78">
        <f t="shared" si="1"/>
        <v>143</v>
      </c>
      <c r="Q19" s="78">
        <f t="shared" si="1"/>
        <v>6</v>
      </c>
      <c r="R19" s="78">
        <f t="shared" si="1"/>
        <v>50</v>
      </c>
      <c r="S19" s="79">
        <f t="shared" si="2"/>
        <v>25.166666666666668</v>
      </c>
    </row>
    <row r="20" spans="1:21" ht="12">
      <c r="A20" s="69" t="s">
        <v>36</v>
      </c>
      <c r="B20" s="70">
        <v>16</v>
      </c>
      <c r="C20" s="71">
        <v>385</v>
      </c>
      <c r="D20" s="72">
        <v>177</v>
      </c>
      <c r="E20" s="72">
        <v>13</v>
      </c>
      <c r="F20" s="72">
        <v>114</v>
      </c>
      <c r="G20" s="74">
        <f t="shared" si="0"/>
        <v>24.0625</v>
      </c>
      <c r="H20" s="70">
        <v>11</v>
      </c>
      <c r="I20" s="71">
        <v>256</v>
      </c>
      <c r="J20" s="178">
        <v>129</v>
      </c>
      <c r="K20" s="178">
        <v>6</v>
      </c>
      <c r="L20" s="178">
        <v>112</v>
      </c>
      <c r="M20" s="166">
        <f>+I20/H20</f>
        <v>23.272727272727273</v>
      </c>
      <c r="N20" s="70">
        <f t="shared" si="3"/>
        <v>27</v>
      </c>
      <c r="O20" s="71">
        <f t="shared" si="1"/>
        <v>641</v>
      </c>
      <c r="P20" s="72">
        <f t="shared" si="1"/>
        <v>306</v>
      </c>
      <c r="Q20" s="72">
        <f t="shared" si="1"/>
        <v>19</v>
      </c>
      <c r="R20" s="72">
        <f t="shared" si="1"/>
        <v>226</v>
      </c>
      <c r="S20" s="74">
        <f t="shared" si="2"/>
        <v>23.74074074074074</v>
      </c>
      <c r="U20" s="22"/>
    </row>
    <row r="21" spans="1:19" ht="12">
      <c r="A21" s="69" t="s">
        <v>37</v>
      </c>
      <c r="B21" s="81">
        <f>SUM(B22:B24)</f>
        <v>30</v>
      </c>
      <c r="C21" s="81">
        <f>SUM(C22:C24)</f>
        <v>722</v>
      </c>
      <c r="D21" s="82">
        <f>SUM(D22:D24)</f>
        <v>343</v>
      </c>
      <c r="E21" s="82">
        <f>SUM(E22:E24)</f>
        <v>20</v>
      </c>
      <c r="F21" s="82">
        <f>SUM(F22:F24)</f>
        <v>52</v>
      </c>
      <c r="G21" s="74">
        <f t="shared" si="0"/>
        <v>24.066666666666666</v>
      </c>
      <c r="H21" s="75">
        <f>SUM(H22:H24)</f>
        <v>5</v>
      </c>
      <c r="I21" s="75">
        <f>SUM(I22:I24)</f>
        <v>121</v>
      </c>
      <c r="J21" s="82">
        <f>SUM(J22:J24)</f>
        <v>63</v>
      </c>
      <c r="K21" s="82">
        <f>SUM(K22:K24)</f>
        <v>1</v>
      </c>
      <c r="L21" s="80">
        <f>SUM(L22:L24)</f>
        <v>11</v>
      </c>
      <c r="M21" s="166">
        <f>+I21/H21</f>
        <v>24.2</v>
      </c>
      <c r="N21" s="81">
        <f t="shared" si="3"/>
        <v>35</v>
      </c>
      <c r="O21" s="81">
        <f t="shared" si="1"/>
        <v>843</v>
      </c>
      <c r="P21" s="82">
        <f t="shared" si="1"/>
        <v>406</v>
      </c>
      <c r="Q21" s="82">
        <f t="shared" si="1"/>
        <v>21</v>
      </c>
      <c r="R21" s="82">
        <f t="shared" si="1"/>
        <v>63</v>
      </c>
      <c r="S21" s="74">
        <f t="shared" si="2"/>
        <v>24.085714285714285</v>
      </c>
    </row>
    <row r="22" spans="1:21" ht="12.75">
      <c r="A22" s="77" t="s">
        <v>38</v>
      </c>
      <c r="B22" s="83">
        <v>7</v>
      </c>
      <c r="C22" s="84">
        <v>162</v>
      </c>
      <c r="D22" s="78">
        <v>73</v>
      </c>
      <c r="E22" s="78">
        <v>2</v>
      </c>
      <c r="F22" s="78">
        <v>6</v>
      </c>
      <c r="G22" s="79">
        <f t="shared" si="0"/>
        <v>23.142857142857142</v>
      </c>
      <c r="H22" s="123"/>
      <c r="I22" s="165"/>
      <c r="J22" s="175"/>
      <c r="K22" s="153"/>
      <c r="L22" s="153"/>
      <c r="M22" s="166"/>
      <c r="N22" s="83">
        <f t="shared" si="3"/>
        <v>7</v>
      </c>
      <c r="O22" s="84">
        <f t="shared" si="1"/>
        <v>162</v>
      </c>
      <c r="P22" s="78">
        <f t="shared" si="1"/>
        <v>73</v>
      </c>
      <c r="Q22" s="78">
        <f t="shared" si="1"/>
        <v>2</v>
      </c>
      <c r="R22" s="78">
        <f t="shared" si="1"/>
        <v>6</v>
      </c>
      <c r="S22" s="79">
        <f t="shared" si="2"/>
        <v>23.142857142857142</v>
      </c>
      <c r="U22" s="22"/>
    </row>
    <row r="23" spans="1:19" ht="12">
      <c r="A23" s="77" t="s">
        <v>39</v>
      </c>
      <c r="B23" s="85">
        <v>8</v>
      </c>
      <c r="C23" s="84">
        <v>199</v>
      </c>
      <c r="D23" s="78">
        <v>92</v>
      </c>
      <c r="E23" s="78">
        <v>6</v>
      </c>
      <c r="F23" s="78">
        <v>13</v>
      </c>
      <c r="G23" s="79">
        <f t="shared" si="0"/>
        <v>24.875</v>
      </c>
      <c r="H23" s="123"/>
      <c r="I23" s="165"/>
      <c r="J23" s="175"/>
      <c r="K23" s="153"/>
      <c r="L23" s="153"/>
      <c r="M23" s="166"/>
      <c r="N23" s="85">
        <f t="shared" si="3"/>
        <v>8</v>
      </c>
      <c r="O23" s="84">
        <f t="shared" si="1"/>
        <v>199</v>
      </c>
      <c r="P23" s="78">
        <f t="shared" si="1"/>
        <v>92</v>
      </c>
      <c r="Q23" s="78">
        <f t="shared" si="1"/>
        <v>6</v>
      </c>
      <c r="R23" s="78">
        <f t="shared" si="1"/>
        <v>13</v>
      </c>
      <c r="S23" s="79">
        <f t="shared" si="2"/>
        <v>24.875</v>
      </c>
    </row>
    <row r="24" spans="1:19" ht="12">
      <c r="A24" s="77" t="s">
        <v>40</v>
      </c>
      <c r="B24" s="84">
        <v>15</v>
      </c>
      <c r="C24" s="47">
        <v>361</v>
      </c>
      <c r="D24" s="78">
        <v>178</v>
      </c>
      <c r="E24" s="78">
        <v>12</v>
      </c>
      <c r="F24" s="78">
        <v>33</v>
      </c>
      <c r="G24" s="79">
        <f t="shared" si="0"/>
        <v>24.066666666666666</v>
      </c>
      <c r="H24" s="46">
        <v>5</v>
      </c>
      <c r="I24" s="47">
        <v>121</v>
      </c>
      <c r="J24" s="177">
        <v>63</v>
      </c>
      <c r="K24" s="177">
        <v>1</v>
      </c>
      <c r="L24" s="177">
        <v>11</v>
      </c>
      <c r="M24" s="162">
        <f>+I24/H24</f>
        <v>24.2</v>
      </c>
      <c r="N24" s="84">
        <f t="shared" si="3"/>
        <v>20</v>
      </c>
      <c r="O24" s="47">
        <f t="shared" si="1"/>
        <v>482</v>
      </c>
      <c r="P24" s="78">
        <f t="shared" si="1"/>
        <v>241</v>
      </c>
      <c r="Q24" s="78">
        <f t="shared" si="1"/>
        <v>13</v>
      </c>
      <c r="R24" s="78">
        <f t="shared" si="1"/>
        <v>44</v>
      </c>
      <c r="S24" s="79">
        <f t="shared" si="2"/>
        <v>24.1</v>
      </c>
    </row>
    <row r="25" spans="1:19" ht="12">
      <c r="A25" s="69" t="s">
        <v>41</v>
      </c>
      <c r="B25" s="75">
        <f>SUM(B26:B27)</f>
        <v>18</v>
      </c>
      <c r="C25" s="75">
        <f>SUM(C26:C27)</f>
        <v>447</v>
      </c>
      <c r="D25" s="80">
        <f>SUM(D26:D27)</f>
        <v>222</v>
      </c>
      <c r="E25" s="80">
        <f>SUM(E26:E27)</f>
        <v>7</v>
      </c>
      <c r="F25" s="80">
        <f>SUM(F26:F27)</f>
        <v>70</v>
      </c>
      <c r="G25" s="74">
        <f t="shared" si="0"/>
        <v>24.833333333333332</v>
      </c>
      <c r="H25" s="75">
        <f>SUM(H26:H27)</f>
        <v>12</v>
      </c>
      <c r="I25" s="75">
        <f>SUM(I26:I27)</f>
        <v>266</v>
      </c>
      <c r="J25" s="80">
        <f>SUM(J26:J27)</f>
        <v>127</v>
      </c>
      <c r="K25" s="80">
        <f>SUM(K26:K27)</f>
        <v>11</v>
      </c>
      <c r="L25" s="80">
        <f>SUM(L26:L27)</f>
        <v>86</v>
      </c>
      <c r="M25" s="166">
        <f>+I25/H25</f>
        <v>22.166666666666668</v>
      </c>
      <c r="N25" s="75">
        <f t="shared" si="3"/>
        <v>30</v>
      </c>
      <c r="O25" s="75">
        <f t="shared" si="1"/>
        <v>713</v>
      </c>
      <c r="P25" s="80">
        <f t="shared" si="1"/>
        <v>349</v>
      </c>
      <c r="Q25" s="80">
        <f t="shared" si="1"/>
        <v>18</v>
      </c>
      <c r="R25" s="80">
        <f t="shared" si="1"/>
        <v>156</v>
      </c>
      <c r="S25" s="74">
        <f t="shared" si="2"/>
        <v>23.766666666666666</v>
      </c>
    </row>
    <row r="26" spans="1:19" ht="12">
      <c r="A26" s="77" t="s">
        <v>42</v>
      </c>
      <c r="B26" s="46">
        <v>8</v>
      </c>
      <c r="C26" s="47">
        <v>200</v>
      </c>
      <c r="D26" s="78">
        <v>102</v>
      </c>
      <c r="E26" s="78">
        <v>3</v>
      </c>
      <c r="F26" s="78">
        <v>53</v>
      </c>
      <c r="G26" s="79">
        <f t="shared" si="0"/>
        <v>25</v>
      </c>
      <c r="H26" s="123"/>
      <c r="I26" s="165"/>
      <c r="J26" s="175"/>
      <c r="K26" s="153"/>
      <c r="L26" s="153"/>
      <c r="M26" s="166"/>
      <c r="N26" s="46">
        <f t="shared" si="3"/>
        <v>8</v>
      </c>
      <c r="O26" s="47">
        <f t="shared" si="1"/>
        <v>200</v>
      </c>
      <c r="P26" s="78">
        <f t="shared" si="1"/>
        <v>102</v>
      </c>
      <c r="Q26" s="78">
        <f t="shared" si="1"/>
        <v>3</v>
      </c>
      <c r="R26" s="78">
        <f t="shared" si="1"/>
        <v>53</v>
      </c>
      <c r="S26" s="79">
        <f t="shared" si="2"/>
        <v>25</v>
      </c>
    </row>
    <row r="27" spans="1:19" ht="12">
      <c r="A27" s="77" t="s">
        <v>43</v>
      </c>
      <c r="B27" s="46">
        <v>10</v>
      </c>
      <c r="C27" s="47">
        <v>247</v>
      </c>
      <c r="D27" s="78">
        <v>120</v>
      </c>
      <c r="E27" s="78">
        <v>4</v>
      </c>
      <c r="F27" s="78">
        <v>17</v>
      </c>
      <c r="G27" s="79">
        <f t="shared" si="0"/>
        <v>24.7</v>
      </c>
      <c r="H27" s="46">
        <v>12</v>
      </c>
      <c r="I27" s="47">
        <v>266</v>
      </c>
      <c r="J27" s="177">
        <v>127</v>
      </c>
      <c r="K27" s="177">
        <v>11</v>
      </c>
      <c r="L27" s="177">
        <v>86</v>
      </c>
      <c r="M27" s="162">
        <f>+I27/H27</f>
        <v>22.166666666666668</v>
      </c>
      <c r="N27" s="46">
        <f t="shared" si="3"/>
        <v>22</v>
      </c>
      <c r="O27" s="47">
        <f t="shared" si="1"/>
        <v>513</v>
      </c>
      <c r="P27" s="78">
        <f t="shared" si="1"/>
        <v>247</v>
      </c>
      <c r="Q27" s="78">
        <f t="shared" si="1"/>
        <v>15</v>
      </c>
      <c r="R27" s="78">
        <f t="shared" si="1"/>
        <v>103</v>
      </c>
      <c r="S27" s="79">
        <f t="shared" si="2"/>
        <v>23.318181818181817</v>
      </c>
    </row>
    <row r="28" spans="1:19" ht="12">
      <c r="A28" s="69" t="s">
        <v>16</v>
      </c>
      <c r="B28" s="75">
        <f>SUM(B29:B30)</f>
        <v>23</v>
      </c>
      <c r="C28" s="75">
        <f>SUM(C29:C30)</f>
        <v>567</v>
      </c>
      <c r="D28" s="80">
        <f>SUM(D29:D30)</f>
        <v>266</v>
      </c>
      <c r="E28" s="80">
        <f>SUM(E29:E30)</f>
        <v>14</v>
      </c>
      <c r="F28" s="80">
        <f>SUM(F29:F30)</f>
        <v>85</v>
      </c>
      <c r="G28" s="74">
        <f t="shared" si="0"/>
        <v>24.652173913043477</v>
      </c>
      <c r="H28" s="75">
        <f>SUM(H29:H30)</f>
        <v>2</v>
      </c>
      <c r="I28" s="75">
        <f>SUM(I29:I30)</f>
        <v>50</v>
      </c>
      <c r="J28" s="80">
        <f>SUM(J29:J30)</f>
        <v>17</v>
      </c>
      <c r="K28" s="80">
        <f>SUM(K29:K30)</f>
        <v>1</v>
      </c>
      <c r="L28" s="80">
        <f>SUM(L29:L30)</f>
        <v>3</v>
      </c>
      <c r="M28" s="166">
        <f>+I28/H28</f>
        <v>25</v>
      </c>
      <c r="N28" s="75">
        <f t="shared" si="3"/>
        <v>25</v>
      </c>
      <c r="O28" s="75">
        <f t="shared" si="1"/>
        <v>617</v>
      </c>
      <c r="P28" s="80">
        <f t="shared" si="1"/>
        <v>283</v>
      </c>
      <c r="Q28" s="80">
        <f t="shared" si="1"/>
        <v>15</v>
      </c>
      <c r="R28" s="80">
        <f t="shared" si="1"/>
        <v>88</v>
      </c>
      <c r="S28" s="74">
        <f t="shared" si="2"/>
        <v>24.68</v>
      </c>
    </row>
    <row r="29" spans="1:19" ht="12">
      <c r="A29" s="77" t="s">
        <v>44</v>
      </c>
      <c r="B29" s="46">
        <v>19</v>
      </c>
      <c r="C29" s="47">
        <v>467</v>
      </c>
      <c r="D29" s="78">
        <v>224</v>
      </c>
      <c r="E29" s="78">
        <v>11</v>
      </c>
      <c r="F29" s="78">
        <v>65</v>
      </c>
      <c r="G29" s="79">
        <f t="shared" si="0"/>
        <v>24.57894736842105</v>
      </c>
      <c r="H29" s="123"/>
      <c r="I29" s="165"/>
      <c r="J29" s="175"/>
      <c r="K29" s="153"/>
      <c r="L29" s="153"/>
      <c r="M29" s="166"/>
      <c r="N29" s="46">
        <f t="shared" si="3"/>
        <v>19</v>
      </c>
      <c r="O29" s="47">
        <f t="shared" si="1"/>
        <v>467</v>
      </c>
      <c r="P29" s="78">
        <f t="shared" si="1"/>
        <v>224</v>
      </c>
      <c r="Q29" s="78">
        <f t="shared" si="1"/>
        <v>11</v>
      </c>
      <c r="R29" s="78">
        <f t="shared" si="1"/>
        <v>65</v>
      </c>
      <c r="S29" s="79">
        <f t="shared" si="2"/>
        <v>24.57894736842105</v>
      </c>
    </row>
    <row r="30" spans="1:19" ht="12">
      <c r="A30" s="77" t="s">
        <v>45</v>
      </c>
      <c r="B30" s="46">
        <v>4</v>
      </c>
      <c r="C30" s="47">
        <v>100</v>
      </c>
      <c r="D30" s="78">
        <v>42</v>
      </c>
      <c r="E30" s="78">
        <v>3</v>
      </c>
      <c r="F30" s="78">
        <v>20</v>
      </c>
      <c r="G30" s="79">
        <f t="shared" si="0"/>
        <v>25</v>
      </c>
      <c r="H30" s="46">
        <v>2</v>
      </c>
      <c r="I30" s="47">
        <v>50</v>
      </c>
      <c r="J30" s="177">
        <v>17</v>
      </c>
      <c r="K30" s="177">
        <v>1</v>
      </c>
      <c r="L30" s="177">
        <v>3</v>
      </c>
      <c r="M30" s="162">
        <f>+I30/H30</f>
        <v>25</v>
      </c>
      <c r="N30" s="46">
        <f t="shared" si="3"/>
        <v>6</v>
      </c>
      <c r="O30" s="47">
        <f t="shared" si="1"/>
        <v>150</v>
      </c>
      <c r="P30" s="78">
        <f t="shared" si="1"/>
        <v>59</v>
      </c>
      <c r="Q30" s="78">
        <f t="shared" si="1"/>
        <v>4</v>
      </c>
      <c r="R30" s="78">
        <f t="shared" si="1"/>
        <v>23</v>
      </c>
      <c r="S30" s="79">
        <f t="shared" si="2"/>
        <v>25</v>
      </c>
    </row>
    <row r="31" spans="1:19" ht="12">
      <c r="A31" s="69" t="s">
        <v>98</v>
      </c>
      <c r="B31" s="75">
        <f>SUM(B32:B33)</f>
        <v>22</v>
      </c>
      <c r="C31" s="75">
        <f>SUM(C32:C33)</f>
        <v>545</v>
      </c>
      <c r="D31" s="80">
        <f>SUM(D32:D33)</f>
        <v>249</v>
      </c>
      <c r="E31" s="80">
        <f>SUM(E32:E33)</f>
        <v>13</v>
      </c>
      <c r="F31" s="80">
        <f>SUM(F32:F33)</f>
        <v>39</v>
      </c>
      <c r="G31" s="74">
        <f t="shared" si="0"/>
        <v>24.772727272727273</v>
      </c>
      <c r="H31" s="75">
        <f>SUM(H32:H33)</f>
        <v>15</v>
      </c>
      <c r="I31" s="75">
        <f>SUM(I32:I33)</f>
        <v>362</v>
      </c>
      <c r="J31" s="80">
        <f>SUM(J32:J33)</f>
        <v>165</v>
      </c>
      <c r="K31" s="80">
        <f>SUM(K32:K33)</f>
        <v>1</v>
      </c>
      <c r="L31" s="80">
        <f>SUM(L32:L33)</f>
        <v>53</v>
      </c>
      <c r="M31" s="166">
        <f>+I31/H31</f>
        <v>24.133333333333333</v>
      </c>
      <c r="N31" s="75">
        <f t="shared" si="3"/>
        <v>37</v>
      </c>
      <c r="O31" s="75">
        <f t="shared" si="1"/>
        <v>907</v>
      </c>
      <c r="P31" s="80">
        <f t="shared" si="1"/>
        <v>414</v>
      </c>
      <c r="Q31" s="80">
        <f t="shared" si="1"/>
        <v>14</v>
      </c>
      <c r="R31" s="80">
        <f t="shared" si="1"/>
        <v>92</v>
      </c>
      <c r="S31" s="74">
        <f t="shared" si="2"/>
        <v>24.513513513513512</v>
      </c>
    </row>
    <row r="32" spans="1:19" ht="12">
      <c r="A32" s="86" t="s">
        <v>46</v>
      </c>
      <c r="B32" s="46">
        <v>13</v>
      </c>
      <c r="C32" s="47">
        <v>323</v>
      </c>
      <c r="D32" s="78">
        <v>146</v>
      </c>
      <c r="E32" s="78">
        <v>9</v>
      </c>
      <c r="F32" s="78">
        <v>20</v>
      </c>
      <c r="G32" s="79">
        <f t="shared" si="0"/>
        <v>24.846153846153847</v>
      </c>
      <c r="H32" s="46">
        <v>12</v>
      </c>
      <c r="I32" s="47">
        <v>287</v>
      </c>
      <c r="J32" s="177">
        <v>136</v>
      </c>
      <c r="K32" s="177">
        <v>1</v>
      </c>
      <c r="L32" s="177">
        <v>40</v>
      </c>
      <c r="M32" s="162">
        <f>+I32/H32</f>
        <v>23.916666666666668</v>
      </c>
      <c r="N32" s="46">
        <f t="shared" si="3"/>
        <v>25</v>
      </c>
      <c r="O32" s="47">
        <f t="shared" si="1"/>
        <v>610</v>
      </c>
      <c r="P32" s="78">
        <f t="shared" si="1"/>
        <v>282</v>
      </c>
      <c r="Q32" s="78">
        <f t="shared" si="1"/>
        <v>10</v>
      </c>
      <c r="R32" s="78">
        <f t="shared" si="1"/>
        <v>60</v>
      </c>
      <c r="S32" s="79">
        <f t="shared" si="2"/>
        <v>24.4</v>
      </c>
    </row>
    <row r="33" spans="1:19" ht="12">
      <c r="A33" s="86" t="s">
        <v>47</v>
      </c>
      <c r="B33" s="48">
        <v>9</v>
      </c>
      <c r="C33" s="47">
        <v>222</v>
      </c>
      <c r="D33" s="88">
        <v>103</v>
      </c>
      <c r="E33" s="88">
        <v>4</v>
      </c>
      <c r="F33" s="88">
        <v>19</v>
      </c>
      <c r="G33" s="87">
        <f t="shared" si="0"/>
        <v>24.666666666666668</v>
      </c>
      <c r="H33" s="48">
        <v>3</v>
      </c>
      <c r="I33" s="47">
        <v>75</v>
      </c>
      <c r="J33" s="186">
        <v>29</v>
      </c>
      <c r="K33" s="186">
        <v>0</v>
      </c>
      <c r="L33" s="186">
        <v>13</v>
      </c>
      <c r="M33" s="170">
        <f>+I33/H33</f>
        <v>25</v>
      </c>
      <c r="N33" s="48">
        <f t="shared" si="3"/>
        <v>12</v>
      </c>
      <c r="O33" s="47">
        <f t="shared" si="1"/>
        <v>297</v>
      </c>
      <c r="P33" s="88">
        <f t="shared" si="1"/>
        <v>132</v>
      </c>
      <c r="Q33" s="88">
        <f t="shared" si="1"/>
        <v>4</v>
      </c>
      <c r="R33" s="88">
        <f t="shared" si="1"/>
        <v>32</v>
      </c>
      <c r="S33" s="87">
        <f t="shared" si="2"/>
        <v>24.75</v>
      </c>
    </row>
    <row r="34" spans="1:19" ht="12">
      <c r="A34" s="89" t="s">
        <v>48</v>
      </c>
      <c r="B34" s="90">
        <f>+B9+B10+B14+B17+B20+B21+B25+B28+B31</f>
        <v>206</v>
      </c>
      <c r="C34" s="91">
        <f>+C9+C10+C14+C17+C20+C21+C25+C28+C31</f>
        <v>5084</v>
      </c>
      <c r="D34" s="92">
        <f>+D9+D10+D14+D17+D20+D21+D25+D28+D31</f>
        <v>2382</v>
      </c>
      <c r="E34" s="93">
        <f>+E9+E10+E14+E17+E20+E21+E25+E28+E31</f>
        <v>130</v>
      </c>
      <c r="F34" s="93">
        <f>+F9+F10+F14+F17+F20+F21+F25+F28+F31</f>
        <v>921</v>
      </c>
      <c r="G34" s="94">
        <f t="shared" si="0"/>
        <v>24.679611650485437</v>
      </c>
      <c r="H34" s="90">
        <f>+H9+H10+H14+H17+H20+H21+H25+H28+H31</f>
        <v>60</v>
      </c>
      <c r="I34" s="91">
        <f>+I10+I14+I17+I20+I21+I25+I28+I31</f>
        <v>1405</v>
      </c>
      <c r="J34" s="92">
        <f>+J10+J14+J17+J20+J21+J25+J28+J31</f>
        <v>680</v>
      </c>
      <c r="K34" s="95">
        <f>+K10+K14+K17+K20+K21+K25+K28+K31</f>
        <v>29</v>
      </c>
      <c r="L34" s="95">
        <f>+L10+L14+L17+L20+L21+L25+L28+L31</f>
        <v>396</v>
      </c>
      <c r="M34" s="96">
        <f>+I34/H34</f>
        <v>23.416666666666668</v>
      </c>
      <c r="N34" s="90">
        <f>H34+B34</f>
        <v>266</v>
      </c>
      <c r="O34" s="91">
        <f>I34+C34</f>
        <v>6489</v>
      </c>
      <c r="P34" s="92">
        <f>J34+D34</f>
        <v>3062</v>
      </c>
      <c r="Q34" s="93">
        <f>K34+E34</f>
        <v>159</v>
      </c>
      <c r="R34" s="93">
        <f>L34+F34</f>
        <v>1317</v>
      </c>
      <c r="S34" s="94">
        <f t="shared" si="2"/>
        <v>24.394736842105264</v>
      </c>
    </row>
    <row r="35" spans="1:19" ht="12">
      <c r="A35" s="97" t="s">
        <v>76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4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97" t="s">
        <v>77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97" t="s">
        <v>78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7">
    <mergeCell ref="B3:S3"/>
    <mergeCell ref="B4:G4"/>
    <mergeCell ref="H4:M4"/>
    <mergeCell ref="N4:S4"/>
    <mergeCell ref="C5:G5"/>
    <mergeCell ref="I5:M5"/>
    <mergeCell ref="O5:S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&amp;R400042.xls</oddHeader>
    <oddFooter>&amp;LComune di Bologna - Dipartimento Programmazione</oddFooter>
  </headerFooter>
  <ignoredErrors>
    <ignoredError sqref="D8:S8 D9:F9 N1" numberStoredAsText="1"/>
    <ignoredError sqref="G9:S9 M10:S34 D10:F16 G10:L13 D18:F34 H18:L34 H14:L16 H17:L17 D17:F17 B17:C17 G18:G34 G14:G16 G17" numberStoredAsText="1" unlockedFormula="1"/>
    <ignoredError sqref="B10:C16 B18:C34" unlockedFormula="1"/>
    <ignoredError sqref="H17:L17 D17:F17" numberStoredAsText="1" formulaRange="1" unlockedFormula="1"/>
    <ignoredError sqref="B17:C17" formulaRange="1" unlockedFormula="1"/>
    <ignoredError sqref="G18:G34 G14:G16" numberStoredAsText="1" formula="1" unlockedFormula="1"/>
    <ignoredError sqref="G17" numberStoredAsText="1" formula="1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6.253906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1" t="s">
        <v>25</v>
      </c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0">
        <v>18</v>
      </c>
      <c r="C9" s="71">
        <v>447</v>
      </c>
      <c r="D9" s="72">
        <v>197</v>
      </c>
      <c r="E9" s="72">
        <v>16</v>
      </c>
      <c r="F9" s="72">
        <v>94</v>
      </c>
      <c r="G9" s="74">
        <f aca="true" t="shared" si="0" ref="G9:G34">+C9/B9</f>
        <v>24.833333333333332</v>
      </c>
      <c r="H9" s="75"/>
      <c r="I9" s="165"/>
      <c r="J9" s="76"/>
      <c r="K9" s="80"/>
      <c r="L9" s="80"/>
      <c r="M9" s="166"/>
      <c r="N9" s="75">
        <v>18</v>
      </c>
      <c r="O9" s="75">
        <v>447</v>
      </c>
      <c r="P9" s="80">
        <v>197</v>
      </c>
      <c r="Q9" s="164">
        <v>16</v>
      </c>
      <c r="R9" s="164">
        <v>94</v>
      </c>
      <c r="S9" s="74">
        <f aca="true" t="shared" si="1" ref="S9:S34">+O9/N9</f>
        <v>24.833333333333332</v>
      </c>
    </row>
    <row r="10" spans="1:19" ht="12">
      <c r="A10" s="69" t="s">
        <v>10</v>
      </c>
      <c r="B10" s="75">
        <f>+B11+B12+B13</f>
        <v>38</v>
      </c>
      <c r="C10" s="75">
        <f>+C11+C12+C13</f>
        <v>921</v>
      </c>
      <c r="D10" s="76">
        <f>+D11+D12+D13</f>
        <v>455</v>
      </c>
      <c r="E10" s="76">
        <f>+E11+E12+E13</f>
        <v>21</v>
      </c>
      <c r="F10" s="76">
        <f>+F11+F12+F13</f>
        <v>265</v>
      </c>
      <c r="G10" s="74">
        <f t="shared" si="0"/>
        <v>24.236842105263158</v>
      </c>
      <c r="H10" s="75">
        <f>SUM(H11:H13)</f>
        <v>9</v>
      </c>
      <c r="I10" s="99">
        <f>SUM(I11:I13)</f>
        <v>213</v>
      </c>
      <c r="J10" s="76">
        <f>SUM(J11:J13)</f>
        <v>96</v>
      </c>
      <c r="K10" s="76">
        <f>SUM(K11:K13)</f>
        <v>2</v>
      </c>
      <c r="L10" s="76">
        <f>SUM(L11:L13)</f>
        <v>79</v>
      </c>
      <c r="M10" s="166">
        <f>+I10/H10</f>
        <v>23.666666666666668</v>
      </c>
      <c r="N10" s="75">
        <v>47</v>
      </c>
      <c r="O10" s="75">
        <v>1134</v>
      </c>
      <c r="P10" s="80">
        <v>551</v>
      </c>
      <c r="Q10" s="76">
        <v>23</v>
      </c>
      <c r="R10" s="76">
        <v>344</v>
      </c>
      <c r="S10" s="74">
        <f t="shared" si="1"/>
        <v>24.127659574468087</v>
      </c>
    </row>
    <row r="11" spans="1:19" ht="12">
      <c r="A11" s="77" t="s">
        <v>29</v>
      </c>
      <c r="B11" s="46">
        <v>19</v>
      </c>
      <c r="C11" s="47">
        <v>454</v>
      </c>
      <c r="D11" s="78">
        <v>219</v>
      </c>
      <c r="E11" s="78">
        <v>14</v>
      </c>
      <c r="F11" s="78">
        <v>145</v>
      </c>
      <c r="G11" s="79">
        <f t="shared" si="0"/>
        <v>23.894736842105264</v>
      </c>
      <c r="H11" s="46">
        <v>5</v>
      </c>
      <c r="I11" s="47">
        <v>118</v>
      </c>
      <c r="J11" s="177">
        <v>56</v>
      </c>
      <c r="K11" s="177">
        <v>0</v>
      </c>
      <c r="L11" s="177">
        <v>57</v>
      </c>
      <c r="M11" s="162">
        <f>+I11/H11</f>
        <v>23.6</v>
      </c>
      <c r="N11" s="123">
        <v>24</v>
      </c>
      <c r="O11" s="123">
        <v>572</v>
      </c>
      <c r="P11" s="153">
        <v>275</v>
      </c>
      <c r="Q11" s="152">
        <v>14</v>
      </c>
      <c r="R11" s="152">
        <v>202</v>
      </c>
      <c r="S11" s="79">
        <f t="shared" si="1"/>
        <v>23.833333333333332</v>
      </c>
    </row>
    <row r="12" spans="1:19" ht="12">
      <c r="A12" s="77" t="s">
        <v>30</v>
      </c>
      <c r="B12" s="46">
        <v>10</v>
      </c>
      <c r="C12" s="47">
        <v>246</v>
      </c>
      <c r="D12" s="78">
        <v>129</v>
      </c>
      <c r="E12" s="78">
        <v>1</v>
      </c>
      <c r="F12" s="78">
        <v>52</v>
      </c>
      <c r="G12" s="79">
        <f t="shared" si="0"/>
        <v>24.6</v>
      </c>
      <c r="H12" s="46">
        <v>4</v>
      </c>
      <c r="I12" s="47">
        <v>95</v>
      </c>
      <c r="J12" s="177">
        <v>40</v>
      </c>
      <c r="K12" s="177">
        <v>2</v>
      </c>
      <c r="L12" s="177">
        <v>22</v>
      </c>
      <c r="M12" s="162">
        <f>+I12/H12</f>
        <v>23.75</v>
      </c>
      <c r="N12" s="123">
        <v>14</v>
      </c>
      <c r="O12" s="123">
        <v>341</v>
      </c>
      <c r="P12" s="153">
        <v>169</v>
      </c>
      <c r="Q12" s="152">
        <v>3</v>
      </c>
      <c r="R12" s="152">
        <v>74</v>
      </c>
      <c r="S12" s="79">
        <f t="shared" si="1"/>
        <v>24.357142857142858</v>
      </c>
    </row>
    <row r="13" spans="1:19" ht="12">
      <c r="A13" s="77" t="s">
        <v>31</v>
      </c>
      <c r="B13" s="46">
        <v>9</v>
      </c>
      <c r="C13" s="47">
        <v>221</v>
      </c>
      <c r="D13" s="78">
        <v>107</v>
      </c>
      <c r="E13" s="78">
        <v>6</v>
      </c>
      <c r="F13" s="78">
        <v>68</v>
      </c>
      <c r="G13" s="79">
        <f t="shared" si="0"/>
        <v>24.555555555555557</v>
      </c>
      <c r="H13" s="123"/>
      <c r="I13" s="174"/>
      <c r="J13" s="175"/>
      <c r="K13" s="153"/>
      <c r="L13" s="153"/>
      <c r="M13" s="166"/>
      <c r="N13" s="123">
        <v>9</v>
      </c>
      <c r="O13" s="123">
        <v>221</v>
      </c>
      <c r="P13" s="153">
        <v>107</v>
      </c>
      <c r="Q13" s="152">
        <v>6</v>
      </c>
      <c r="R13" s="152">
        <v>68</v>
      </c>
      <c r="S13" s="79">
        <f t="shared" si="1"/>
        <v>24.555555555555557</v>
      </c>
    </row>
    <row r="14" spans="1:19" ht="12">
      <c r="A14" s="69" t="s">
        <v>11</v>
      </c>
      <c r="B14" s="75">
        <f>SUM(B15:B16)</f>
        <v>17</v>
      </c>
      <c r="C14" s="75">
        <f>SUM(C15:C16)</f>
        <v>433</v>
      </c>
      <c r="D14" s="80">
        <f>SUM(D15:D16)</f>
        <v>215</v>
      </c>
      <c r="E14" s="80">
        <f>SUM(E15:E16)</f>
        <v>9</v>
      </c>
      <c r="F14" s="80">
        <f>SUM(F15:F16)</f>
        <v>74</v>
      </c>
      <c r="G14" s="74">
        <f t="shared" si="0"/>
        <v>25.470588235294116</v>
      </c>
      <c r="H14" s="75">
        <f>SUM(H15:H16)</f>
        <v>3</v>
      </c>
      <c r="I14" s="75">
        <f>SUM(I15:I16)</f>
        <v>69</v>
      </c>
      <c r="J14" s="80">
        <f>SUM(J15:J16)</f>
        <v>32</v>
      </c>
      <c r="K14" s="80">
        <f>SUM(K15:K16)</f>
        <v>4</v>
      </c>
      <c r="L14" s="80">
        <f>SUM(L15:L16)</f>
        <v>17</v>
      </c>
      <c r="M14" s="166">
        <f>+I14/H14</f>
        <v>23</v>
      </c>
      <c r="N14" s="75">
        <v>20</v>
      </c>
      <c r="O14" s="75">
        <v>502</v>
      </c>
      <c r="P14" s="80">
        <v>247</v>
      </c>
      <c r="Q14" s="76">
        <v>13</v>
      </c>
      <c r="R14" s="76">
        <v>91</v>
      </c>
      <c r="S14" s="74">
        <f t="shared" si="1"/>
        <v>25.1</v>
      </c>
    </row>
    <row r="15" spans="1:19" ht="12">
      <c r="A15" s="77" t="s">
        <v>32</v>
      </c>
      <c r="B15" s="46">
        <v>5</v>
      </c>
      <c r="C15" s="47">
        <v>129</v>
      </c>
      <c r="D15" s="78">
        <v>71</v>
      </c>
      <c r="E15" s="78">
        <v>4</v>
      </c>
      <c r="F15" s="78">
        <v>16</v>
      </c>
      <c r="G15" s="79">
        <f t="shared" si="0"/>
        <v>25.8</v>
      </c>
      <c r="H15" s="46">
        <v>3</v>
      </c>
      <c r="I15" s="47">
        <v>69</v>
      </c>
      <c r="J15" s="46">
        <v>32</v>
      </c>
      <c r="K15" s="46">
        <v>4</v>
      </c>
      <c r="L15" s="177">
        <v>17</v>
      </c>
      <c r="M15" s="162">
        <f>+I15/H15</f>
        <v>23</v>
      </c>
      <c r="N15" s="123">
        <v>8</v>
      </c>
      <c r="O15" s="123">
        <v>198</v>
      </c>
      <c r="P15" s="153">
        <v>103</v>
      </c>
      <c r="Q15" s="152">
        <v>8</v>
      </c>
      <c r="R15" s="152">
        <v>33</v>
      </c>
      <c r="S15" s="79">
        <f t="shared" si="1"/>
        <v>24.75</v>
      </c>
    </row>
    <row r="16" spans="1:19" ht="12">
      <c r="A16" s="77" t="s">
        <v>33</v>
      </c>
      <c r="B16" s="46">
        <v>12</v>
      </c>
      <c r="C16" s="47">
        <v>304</v>
      </c>
      <c r="D16" s="78">
        <v>144</v>
      </c>
      <c r="E16" s="78">
        <v>5</v>
      </c>
      <c r="F16" s="78">
        <v>58</v>
      </c>
      <c r="G16" s="79">
        <f t="shared" si="0"/>
        <v>25.333333333333332</v>
      </c>
      <c r="H16" s="123"/>
      <c r="I16" s="165"/>
      <c r="J16" s="176"/>
      <c r="K16" s="153"/>
      <c r="L16" s="153"/>
      <c r="M16" s="166"/>
      <c r="N16" s="123">
        <v>12</v>
      </c>
      <c r="O16" s="123">
        <v>304</v>
      </c>
      <c r="P16" s="153">
        <v>144</v>
      </c>
      <c r="Q16" s="152">
        <v>5</v>
      </c>
      <c r="R16" s="152">
        <v>58</v>
      </c>
      <c r="S16" s="79">
        <f t="shared" si="1"/>
        <v>25.333333333333332</v>
      </c>
    </row>
    <row r="17" spans="1:19" ht="12">
      <c r="A17" s="69" t="s">
        <v>12</v>
      </c>
      <c r="B17" s="75">
        <f>SUM(B18:B19)</f>
        <v>24</v>
      </c>
      <c r="C17" s="75">
        <f>SUM(C18:C19)</f>
        <v>605</v>
      </c>
      <c r="D17" s="80">
        <f>SUM(D18:D19)</f>
        <v>309</v>
      </c>
      <c r="E17" s="80">
        <f>SUM(E18:E19)</f>
        <v>13</v>
      </c>
      <c r="F17" s="80">
        <f>SUM(F18:F19)</f>
        <v>89</v>
      </c>
      <c r="G17" s="74">
        <f t="shared" si="0"/>
        <v>25.208333333333332</v>
      </c>
      <c r="H17" s="75">
        <f>SUM(H18:H19)</f>
        <v>2</v>
      </c>
      <c r="I17" s="75">
        <f>SUM(I18:I19)</f>
        <v>50</v>
      </c>
      <c r="J17" s="80">
        <f>SUM(J18:J19)</f>
        <v>23</v>
      </c>
      <c r="K17" s="80">
        <f>SUM(K18:K19)</f>
        <v>3</v>
      </c>
      <c r="L17" s="80">
        <f>SUM(L18:L19)</f>
        <v>19</v>
      </c>
      <c r="M17" s="166">
        <f>+I17/H17</f>
        <v>25</v>
      </c>
      <c r="N17" s="75">
        <v>26</v>
      </c>
      <c r="O17" s="75">
        <v>655</v>
      </c>
      <c r="P17" s="80">
        <v>332</v>
      </c>
      <c r="Q17" s="76">
        <v>16</v>
      </c>
      <c r="R17" s="76">
        <v>108</v>
      </c>
      <c r="S17" s="74">
        <f t="shared" si="1"/>
        <v>25.192307692307693</v>
      </c>
    </row>
    <row r="18" spans="1:19" ht="12">
      <c r="A18" s="77" t="s">
        <v>34</v>
      </c>
      <c r="B18" s="46">
        <v>12</v>
      </c>
      <c r="C18" s="47">
        <v>300</v>
      </c>
      <c r="D18" s="78">
        <v>160</v>
      </c>
      <c r="E18" s="78">
        <v>6</v>
      </c>
      <c r="F18" s="78">
        <v>38</v>
      </c>
      <c r="G18" s="79">
        <f t="shared" si="0"/>
        <v>25</v>
      </c>
      <c r="H18" s="46">
        <v>2</v>
      </c>
      <c r="I18" s="47">
        <v>50</v>
      </c>
      <c r="J18" s="177">
        <v>23</v>
      </c>
      <c r="K18" s="177">
        <v>3</v>
      </c>
      <c r="L18" s="177">
        <v>19</v>
      </c>
      <c r="M18" s="162">
        <f>+I18/H18</f>
        <v>25</v>
      </c>
      <c r="N18" s="123">
        <v>14</v>
      </c>
      <c r="O18" s="123">
        <v>350</v>
      </c>
      <c r="P18" s="153">
        <v>183</v>
      </c>
      <c r="Q18" s="152">
        <v>9</v>
      </c>
      <c r="R18" s="152">
        <v>57</v>
      </c>
      <c r="S18" s="79">
        <f t="shared" si="1"/>
        <v>25</v>
      </c>
    </row>
    <row r="19" spans="1:19" ht="12">
      <c r="A19" s="77" t="s">
        <v>35</v>
      </c>
      <c r="B19" s="46">
        <v>12</v>
      </c>
      <c r="C19" s="47">
        <v>305</v>
      </c>
      <c r="D19" s="78">
        <v>149</v>
      </c>
      <c r="E19" s="78">
        <v>7</v>
      </c>
      <c r="F19" s="78">
        <v>51</v>
      </c>
      <c r="G19" s="79">
        <f t="shared" si="0"/>
        <v>25.416666666666668</v>
      </c>
      <c r="H19" s="123"/>
      <c r="I19" s="165"/>
      <c r="J19" s="175"/>
      <c r="K19" s="153"/>
      <c r="L19" s="153"/>
      <c r="M19" s="166"/>
      <c r="N19" s="123">
        <v>12</v>
      </c>
      <c r="O19" s="123">
        <v>305</v>
      </c>
      <c r="P19" s="153">
        <v>149</v>
      </c>
      <c r="Q19" s="152">
        <v>7</v>
      </c>
      <c r="R19" s="152">
        <v>51</v>
      </c>
      <c r="S19" s="79">
        <f t="shared" si="1"/>
        <v>25.416666666666668</v>
      </c>
    </row>
    <row r="20" spans="1:21" ht="12">
      <c r="A20" s="69" t="s">
        <v>36</v>
      </c>
      <c r="B20" s="75">
        <v>16</v>
      </c>
      <c r="C20" s="99">
        <v>379</v>
      </c>
      <c r="D20" s="76">
        <v>175</v>
      </c>
      <c r="E20" s="76">
        <v>10</v>
      </c>
      <c r="F20" s="76">
        <v>98</v>
      </c>
      <c r="G20" s="74">
        <f t="shared" si="0"/>
        <v>23.6875</v>
      </c>
      <c r="H20" s="70">
        <v>11</v>
      </c>
      <c r="I20" s="71">
        <v>252</v>
      </c>
      <c r="J20" s="178">
        <v>111</v>
      </c>
      <c r="K20" s="178">
        <v>1</v>
      </c>
      <c r="L20" s="178">
        <v>113</v>
      </c>
      <c r="M20" s="166">
        <f>+I20/H20</f>
        <v>22.90909090909091</v>
      </c>
      <c r="N20" s="75">
        <v>27</v>
      </c>
      <c r="O20" s="75">
        <v>631</v>
      </c>
      <c r="P20" s="80">
        <v>286</v>
      </c>
      <c r="Q20" s="76">
        <v>11</v>
      </c>
      <c r="R20" s="76">
        <v>211</v>
      </c>
      <c r="S20" s="74">
        <f t="shared" si="1"/>
        <v>23.37037037037037</v>
      </c>
      <c r="U20" s="22"/>
    </row>
    <row r="21" spans="1:19" ht="12">
      <c r="A21" s="69" t="s">
        <v>37</v>
      </c>
      <c r="B21" s="81">
        <f>SUM(B22:B24)</f>
        <v>30</v>
      </c>
      <c r="C21" s="81">
        <f>SUM(C22:C24)</f>
        <v>716</v>
      </c>
      <c r="D21" s="82">
        <f>SUM(D22:D24)</f>
        <v>348</v>
      </c>
      <c r="E21" s="82">
        <f>SUM(E22:E24)</f>
        <v>24</v>
      </c>
      <c r="F21" s="82">
        <f>SUM(F22:F24)</f>
        <v>51</v>
      </c>
      <c r="G21" s="74">
        <f t="shared" si="0"/>
        <v>23.866666666666667</v>
      </c>
      <c r="H21" s="75">
        <f>SUM(H22:H24)</f>
        <v>5</v>
      </c>
      <c r="I21" s="75">
        <f>SUM(I22:I24)</f>
        <v>124</v>
      </c>
      <c r="J21" s="82">
        <f>SUM(J22:J24)</f>
        <v>64</v>
      </c>
      <c r="K21" s="75"/>
      <c r="L21" s="80">
        <f>SUM(L22:L24)</f>
        <v>25</v>
      </c>
      <c r="M21" s="166">
        <f>+I21/H21</f>
        <v>24.8</v>
      </c>
      <c r="N21" s="75">
        <v>35</v>
      </c>
      <c r="O21" s="75">
        <v>840</v>
      </c>
      <c r="P21" s="80">
        <v>412</v>
      </c>
      <c r="Q21" s="76">
        <v>24</v>
      </c>
      <c r="R21" s="76">
        <v>76</v>
      </c>
      <c r="S21" s="74">
        <f t="shared" si="1"/>
        <v>24</v>
      </c>
    </row>
    <row r="22" spans="1:21" ht="12">
      <c r="A22" s="77" t="s">
        <v>38</v>
      </c>
      <c r="B22" s="179">
        <v>7</v>
      </c>
      <c r="C22" s="180">
        <v>164</v>
      </c>
      <c r="D22" s="181">
        <v>65</v>
      </c>
      <c r="E22" s="182">
        <v>5</v>
      </c>
      <c r="F22" s="182">
        <v>4</v>
      </c>
      <c r="G22" s="79">
        <f t="shared" si="0"/>
        <v>23.428571428571427</v>
      </c>
      <c r="H22" s="123"/>
      <c r="I22" s="165"/>
      <c r="J22" s="175"/>
      <c r="K22" s="153"/>
      <c r="L22" s="153"/>
      <c r="M22" s="166"/>
      <c r="N22" s="123">
        <v>7</v>
      </c>
      <c r="O22" s="123">
        <v>164</v>
      </c>
      <c r="P22" s="153">
        <v>65</v>
      </c>
      <c r="Q22" s="152">
        <v>5</v>
      </c>
      <c r="R22" s="152">
        <v>4</v>
      </c>
      <c r="S22" s="79">
        <f t="shared" si="1"/>
        <v>23.428571428571427</v>
      </c>
      <c r="U22" s="22"/>
    </row>
    <row r="23" spans="1:19" ht="12">
      <c r="A23" s="77" t="s">
        <v>39</v>
      </c>
      <c r="B23" s="179">
        <v>8</v>
      </c>
      <c r="C23" s="180">
        <v>196</v>
      </c>
      <c r="D23" s="181">
        <v>105</v>
      </c>
      <c r="E23" s="182">
        <v>7</v>
      </c>
      <c r="F23" s="182">
        <v>16</v>
      </c>
      <c r="G23" s="79">
        <f t="shared" si="0"/>
        <v>24.5</v>
      </c>
      <c r="H23" s="123"/>
      <c r="I23" s="165"/>
      <c r="J23" s="175"/>
      <c r="K23" s="153"/>
      <c r="L23" s="153"/>
      <c r="M23" s="166"/>
      <c r="N23" s="123">
        <v>8</v>
      </c>
      <c r="O23" s="123">
        <v>196</v>
      </c>
      <c r="P23" s="153">
        <v>105</v>
      </c>
      <c r="Q23" s="152">
        <v>7</v>
      </c>
      <c r="R23" s="152">
        <v>16</v>
      </c>
      <c r="S23" s="79">
        <f t="shared" si="1"/>
        <v>24.5</v>
      </c>
    </row>
    <row r="24" spans="1:19" ht="12">
      <c r="A24" s="77" t="s">
        <v>40</v>
      </c>
      <c r="B24" s="179">
        <v>15</v>
      </c>
      <c r="C24" s="180">
        <v>356</v>
      </c>
      <c r="D24" s="181">
        <v>178</v>
      </c>
      <c r="E24" s="182">
        <v>12</v>
      </c>
      <c r="F24" s="182">
        <v>31</v>
      </c>
      <c r="G24" s="79">
        <f t="shared" si="0"/>
        <v>23.733333333333334</v>
      </c>
      <c r="H24" s="46">
        <v>5</v>
      </c>
      <c r="I24" s="47">
        <v>124</v>
      </c>
      <c r="J24" s="177">
        <v>64</v>
      </c>
      <c r="K24" s="177">
        <v>0</v>
      </c>
      <c r="L24" s="177">
        <v>25</v>
      </c>
      <c r="M24" s="162">
        <f>+I24/H24</f>
        <v>24.8</v>
      </c>
      <c r="N24" s="123">
        <v>20</v>
      </c>
      <c r="O24" s="123">
        <v>480</v>
      </c>
      <c r="P24" s="153">
        <v>242</v>
      </c>
      <c r="Q24" s="152">
        <v>12</v>
      </c>
      <c r="R24" s="152">
        <v>56</v>
      </c>
      <c r="S24" s="79">
        <f t="shared" si="1"/>
        <v>24</v>
      </c>
    </row>
    <row r="25" spans="1:19" ht="12">
      <c r="A25" s="69" t="s">
        <v>41</v>
      </c>
      <c r="B25" s="75">
        <f>SUM(B26:B27)</f>
        <v>18</v>
      </c>
      <c r="C25" s="75">
        <f>SUM(C26:C27)</f>
        <v>438</v>
      </c>
      <c r="D25" s="80">
        <f>SUM(D26:D27)</f>
        <v>230</v>
      </c>
      <c r="E25" s="80">
        <f>SUM(E26:E27)</f>
        <v>9</v>
      </c>
      <c r="F25" s="80">
        <f>SUM(F26:F27)</f>
        <v>76</v>
      </c>
      <c r="G25" s="74">
        <f t="shared" si="0"/>
        <v>24.333333333333332</v>
      </c>
      <c r="H25" s="75">
        <f>SUM(H26:H27)</f>
        <v>12</v>
      </c>
      <c r="I25" s="75">
        <f>SUM(I26:I27)</f>
        <v>266</v>
      </c>
      <c r="J25" s="80">
        <f>SUM(J26:J27)</f>
        <v>119</v>
      </c>
      <c r="K25" s="80">
        <f>SUM(K26:K27)</f>
        <v>7</v>
      </c>
      <c r="L25" s="80">
        <f>SUM(L26:L27)</f>
        <v>80</v>
      </c>
      <c r="M25" s="166">
        <f>+I25/H25</f>
        <v>22.166666666666668</v>
      </c>
      <c r="N25" s="75">
        <v>30</v>
      </c>
      <c r="O25" s="75">
        <v>704</v>
      </c>
      <c r="P25" s="80">
        <v>349</v>
      </c>
      <c r="Q25" s="76">
        <v>16</v>
      </c>
      <c r="R25" s="76">
        <v>156</v>
      </c>
      <c r="S25" s="74">
        <f t="shared" si="1"/>
        <v>23.466666666666665</v>
      </c>
    </row>
    <row r="26" spans="1:19" ht="12">
      <c r="A26" s="77" t="s">
        <v>42</v>
      </c>
      <c r="B26" s="183">
        <v>8</v>
      </c>
      <c r="C26" s="180">
        <v>192</v>
      </c>
      <c r="D26" s="181">
        <v>104</v>
      </c>
      <c r="E26" s="182">
        <v>4</v>
      </c>
      <c r="F26" s="182">
        <v>62</v>
      </c>
      <c r="G26" s="79">
        <f t="shared" si="0"/>
        <v>24</v>
      </c>
      <c r="H26" s="123"/>
      <c r="I26" s="165"/>
      <c r="J26" s="175"/>
      <c r="K26" s="153"/>
      <c r="L26" s="153"/>
      <c r="M26" s="166"/>
      <c r="N26" s="123">
        <v>8</v>
      </c>
      <c r="O26" s="123">
        <v>192</v>
      </c>
      <c r="P26" s="153">
        <v>104</v>
      </c>
      <c r="Q26" s="152">
        <v>4</v>
      </c>
      <c r="R26" s="152">
        <v>62</v>
      </c>
      <c r="S26" s="79">
        <f t="shared" si="1"/>
        <v>24</v>
      </c>
    </row>
    <row r="27" spans="1:19" ht="12">
      <c r="A27" s="77" t="s">
        <v>43</v>
      </c>
      <c r="B27" s="183">
        <v>10</v>
      </c>
      <c r="C27" s="180">
        <v>246</v>
      </c>
      <c r="D27" s="181">
        <v>126</v>
      </c>
      <c r="E27" s="182">
        <v>5</v>
      </c>
      <c r="F27" s="182">
        <v>14</v>
      </c>
      <c r="G27" s="79">
        <f t="shared" si="0"/>
        <v>24.6</v>
      </c>
      <c r="H27" s="46">
        <v>12</v>
      </c>
      <c r="I27" s="47">
        <v>266</v>
      </c>
      <c r="J27" s="177">
        <v>119</v>
      </c>
      <c r="K27" s="177">
        <v>7</v>
      </c>
      <c r="L27" s="177">
        <v>80</v>
      </c>
      <c r="M27" s="162">
        <f>+I27/H27</f>
        <v>22.166666666666668</v>
      </c>
      <c r="N27" s="123">
        <v>22</v>
      </c>
      <c r="O27" s="123">
        <v>512</v>
      </c>
      <c r="P27" s="153">
        <v>245</v>
      </c>
      <c r="Q27" s="152">
        <v>12</v>
      </c>
      <c r="R27" s="152">
        <v>94</v>
      </c>
      <c r="S27" s="79">
        <f t="shared" si="1"/>
        <v>23.272727272727273</v>
      </c>
    </row>
    <row r="28" spans="1:19" ht="12">
      <c r="A28" s="69" t="s">
        <v>16</v>
      </c>
      <c r="B28" s="75">
        <f>SUM(B29:B30)</f>
        <v>23</v>
      </c>
      <c r="C28" s="75">
        <f>SUM(C29:C30)</f>
        <v>569</v>
      </c>
      <c r="D28" s="80">
        <f>SUM(D29:D30)</f>
        <v>261</v>
      </c>
      <c r="E28" s="80">
        <f>SUM(E29:E30)</f>
        <v>12</v>
      </c>
      <c r="F28" s="80">
        <f>SUM(F29:F30)</f>
        <v>78</v>
      </c>
      <c r="G28" s="74">
        <f t="shared" si="0"/>
        <v>24.73913043478261</v>
      </c>
      <c r="H28" s="75">
        <f>SUM(H29:H30)</f>
        <v>2</v>
      </c>
      <c r="I28" s="75">
        <f>SUM(I29:I30)</f>
        <v>50</v>
      </c>
      <c r="J28" s="80">
        <f>SUM(J29:J30)</f>
        <v>20</v>
      </c>
      <c r="K28" s="75"/>
      <c r="L28" s="80">
        <f>SUM(L29:L30)</f>
        <v>9</v>
      </c>
      <c r="M28" s="166">
        <f>+I28/H28</f>
        <v>25</v>
      </c>
      <c r="N28" s="75">
        <v>25</v>
      </c>
      <c r="O28" s="75">
        <v>619</v>
      </c>
      <c r="P28" s="80">
        <v>281</v>
      </c>
      <c r="Q28" s="76">
        <v>12</v>
      </c>
      <c r="R28" s="76">
        <v>87</v>
      </c>
      <c r="S28" s="74">
        <f t="shared" si="1"/>
        <v>24.76</v>
      </c>
    </row>
    <row r="29" spans="1:19" ht="12">
      <c r="A29" s="77" t="s">
        <v>44</v>
      </c>
      <c r="B29" s="183">
        <v>19</v>
      </c>
      <c r="C29" s="180">
        <v>464</v>
      </c>
      <c r="D29" s="181">
        <v>217</v>
      </c>
      <c r="E29" s="182">
        <v>9</v>
      </c>
      <c r="F29" s="182">
        <v>55</v>
      </c>
      <c r="G29" s="79">
        <f t="shared" si="0"/>
        <v>24.42105263157895</v>
      </c>
      <c r="H29" s="123"/>
      <c r="I29" s="165"/>
      <c r="J29" s="175"/>
      <c r="K29" s="153"/>
      <c r="L29" s="153"/>
      <c r="M29" s="166"/>
      <c r="N29" s="123">
        <v>19</v>
      </c>
      <c r="O29" s="123">
        <v>464</v>
      </c>
      <c r="P29" s="153">
        <v>217</v>
      </c>
      <c r="Q29" s="152">
        <v>9</v>
      </c>
      <c r="R29" s="152">
        <v>55</v>
      </c>
      <c r="S29" s="79">
        <f t="shared" si="1"/>
        <v>24.42105263157895</v>
      </c>
    </row>
    <row r="30" spans="1:19" ht="12">
      <c r="A30" s="77" t="s">
        <v>45</v>
      </c>
      <c r="B30" s="183">
        <v>4</v>
      </c>
      <c r="C30" s="180">
        <v>105</v>
      </c>
      <c r="D30" s="181">
        <v>44</v>
      </c>
      <c r="E30" s="182">
        <v>3</v>
      </c>
      <c r="F30" s="182">
        <v>23</v>
      </c>
      <c r="G30" s="79">
        <f t="shared" si="0"/>
        <v>26.25</v>
      </c>
      <c r="H30" s="46">
        <v>2</v>
      </c>
      <c r="I30" s="47">
        <v>50</v>
      </c>
      <c r="J30" s="177">
        <v>20</v>
      </c>
      <c r="K30" s="177">
        <v>0</v>
      </c>
      <c r="L30" s="177">
        <v>9</v>
      </c>
      <c r="M30" s="162">
        <f>+I30/H30</f>
        <v>25</v>
      </c>
      <c r="N30" s="123">
        <v>6</v>
      </c>
      <c r="O30" s="123">
        <v>155</v>
      </c>
      <c r="P30" s="153">
        <v>64</v>
      </c>
      <c r="Q30" s="152">
        <v>3</v>
      </c>
      <c r="R30" s="152">
        <v>32</v>
      </c>
      <c r="S30" s="79">
        <f t="shared" si="1"/>
        <v>25.833333333333332</v>
      </c>
    </row>
    <row r="31" spans="1:19" ht="12">
      <c r="A31" s="69" t="s">
        <v>17</v>
      </c>
      <c r="B31" s="75">
        <f>SUM(B32:B33)</f>
        <v>24</v>
      </c>
      <c r="C31" s="75">
        <f>SUM(C32:C33)</f>
        <v>592</v>
      </c>
      <c r="D31" s="80">
        <f>SUM(D32:D33)</f>
        <v>276</v>
      </c>
      <c r="E31" s="80">
        <f>SUM(E32:E33)</f>
        <v>15</v>
      </c>
      <c r="F31" s="80">
        <f>SUM(F32:F33)</f>
        <v>73</v>
      </c>
      <c r="G31" s="74">
        <f t="shared" si="0"/>
        <v>24.666666666666668</v>
      </c>
      <c r="H31" s="75">
        <f>SUM(H32:H33)</f>
        <v>14</v>
      </c>
      <c r="I31" s="75">
        <f>SUM(I32:I33)</f>
        <v>330</v>
      </c>
      <c r="J31" s="80">
        <f>SUM(J32:J33)</f>
        <v>148</v>
      </c>
      <c r="K31" s="80">
        <f>SUM(K32:K33)</f>
        <v>3</v>
      </c>
      <c r="L31" s="80">
        <f>SUM(L32:L33)</f>
        <v>61</v>
      </c>
      <c r="M31" s="166">
        <f>+I31/H31</f>
        <v>23.571428571428573</v>
      </c>
      <c r="N31" s="75">
        <v>38</v>
      </c>
      <c r="O31" s="75">
        <v>922</v>
      </c>
      <c r="P31" s="80">
        <v>424</v>
      </c>
      <c r="Q31" s="76">
        <v>18</v>
      </c>
      <c r="R31" s="76">
        <v>134</v>
      </c>
      <c r="S31" s="74">
        <f t="shared" si="1"/>
        <v>24.263157894736842</v>
      </c>
    </row>
    <row r="32" spans="1:19" ht="12">
      <c r="A32" s="86" t="s">
        <v>46</v>
      </c>
      <c r="B32" s="183">
        <v>14</v>
      </c>
      <c r="C32" s="180">
        <v>345</v>
      </c>
      <c r="D32" s="181">
        <v>160</v>
      </c>
      <c r="E32" s="182">
        <v>12</v>
      </c>
      <c r="F32" s="182">
        <v>34</v>
      </c>
      <c r="G32" s="79">
        <f t="shared" si="0"/>
        <v>24.642857142857142</v>
      </c>
      <c r="H32" s="46">
        <v>11</v>
      </c>
      <c r="I32" s="47">
        <v>257</v>
      </c>
      <c r="J32" s="177">
        <v>118</v>
      </c>
      <c r="K32" s="177">
        <v>3</v>
      </c>
      <c r="L32" s="177">
        <v>44</v>
      </c>
      <c r="M32" s="162">
        <f>+I32/H32</f>
        <v>23.363636363636363</v>
      </c>
      <c r="N32" s="123">
        <v>25</v>
      </c>
      <c r="O32" s="123">
        <v>602</v>
      </c>
      <c r="P32" s="153">
        <v>278</v>
      </c>
      <c r="Q32" s="152">
        <v>15</v>
      </c>
      <c r="R32" s="152">
        <v>78</v>
      </c>
      <c r="S32" s="79">
        <f t="shared" si="1"/>
        <v>24.08</v>
      </c>
    </row>
    <row r="33" spans="1:19" ht="12">
      <c r="A33" s="86" t="s">
        <v>47</v>
      </c>
      <c r="B33" s="184">
        <v>10</v>
      </c>
      <c r="C33" s="180">
        <v>247</v>
      </c>
      <c r="D33" s="181">
        <v>116</v>
      </c>
      <c r="E33" s="185">
        <v>3</v>
      </c>
      <c r="F33" s="185">
        <v>39</v>
      </c>
      <c r="G33" s="87">
        <f t="shared" si="0"/>
        <v>24.7</v>
      </c>
      <c r="H33" s="48">
        <v>3</v>
      </c>
      <c r="I33" s="47">
        <v>73</v>
      </c>
      <c r="J33" s="186">
        <v>30</v>
      </c>
      <c r="K33" s="186">
        <v>0</v>
      </c>
      <c r="L33" s="186">
        <v>17</v>
      </c>
      <c r="M33" s="170">
        <f>+I33/H33</f>
        <v>24.333333333333332</v>
      </c>
      <c r="N33" s="155">
        <v>13</v>
      </c>
      <c r="O33" s="155">
        <v>320</v>
      </c>
      <c r="P33" s="153">
        <v>146</v>
      </c>
      <c r="Q33" s="169">
        <v>3</v>
      </c>
      <c r="R33" s="169">
        <v>56</v>
      </c>
      <c r="S33" s="87">
        <f t="shared" si="1"/>
        <v>24.615384615384617</v>
      </c>
    </row>
    <row r="34" spans="1:19" ht="12">
      <c r="A34" s="89" t="s">
        <v>48</v>
      </c>
      <c r="B34" s="90">
        <f>+B9+B10+B14+B17+B20+B21+B25+B28+B31</f>
        <v>208</v>
      </c>
      <c r="C34" s="91">
        <f>+C9+C10+C14+C17+C20+C21+C25+C28+C31</f>
        <v>5100</v>
      </c>
      <c r="D34" s="92">
        <f>+D9+D10+D14+D17+D20+D21+D25+D28+D31</f>
        <v>2466</v>
      </c>
      <c r="E34" s="93">
        <f>+E9+E10+E14+E17+E20+E21+E25+E28+E31</f>
        <v>129</v>
      </c>
      <c r="F34" s="93">
        <f>+F9+F10+F14+F17+F20+F21+F25+F28+F31</f>
        <v>898</v>
      </c>
      <c r="G34" s="94">
        <f t="shared" si="0"/>
        <v>24.51923076923077</v>
      </c>
      <c r="H34" s="90">
        <f>+H9+H10+H14+H17+H20+H21+H25+H28+H31</f>
        <v>58</v>
      </c>
      <c r="I34" s="91">
        <f>+I10+I14+I17+I20+I21+I25+I28+I31</f>
        <v>1354</v>
      </c>
      <c r="J34" s="92">
        <f>+J10+J14+J17+J20+J21+J25+J28+J31</f>
        <v>613</v>
      </c>
      <c r="K34" s="95">
        <f>+K10+K14+K17+K20+K21+K25+K28+K31</f>
        <v>20</v>
      </c>
      <c r="L34" s="95">
        <f>+L10+L14+L17+L20+L21+L25+L28+L31</f>
        <v>403</v>
      </c>
      <c r="M34" s="96">
        <f>+I34/H34</f>
        <v>23.344827586206897</v>
      </c>
      <c r="N34" s="171">
        <v>266</v>
      </c>
      <c r="O34" s="171">
        <v>6454</v>
      </c>
      <c r="P34" s="93">
        <v>3079</v>
      </c>
      <c r="Q34" s="93">
        <v>149</v>
      </c>
      <c r="R34" s="93">
        <v>1301</v>
      </c>
      <c r="S34" s="94">
        <f t="shared" si="1"/>
        <v>24.263157894736842</v>
      </c>
    </row>
    <row r="35" spans="1:19" ht="12">
      <c r="A35" s="97" t="s">
        <v>74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4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14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173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7">
    <mergeCell ref="C5:G5"/>
    <mergeCell ref="I5:M5"/>
    <mergeCell ref="O5:S5"/>
    <mergeCell ref="B3:S3"/>
    <mergeCell ref="B4:G4"/>
    <mergeCell ref="H4:M4"/>
    <mergeCell ref="N4:S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&amp;R400042.xls</oddHeader>
    <oddFooter>&amp;LComune di Bologna - Dipartimento Programmazione</oddFooter>
  </headerFooter>
  <ignoredErrors>
    <ignoredError sqref="N1 D8:R8" numberStoredAsText="1"/>
    <ignoredError sqref="B10:F16 G10:S13 G9:S9 H14:S16" unlockedFormula="1"/>
    <ignoredError sqref="H17:S34 B17:F34 G14:G16 G17:G34" formulaRange="1" unlockedFormula="1"/>
    <ignoredError sqref="T17:T34" formulaRange="1"/>
    <ignoredError sqref="G14:G16" formula="1" unlockedFormula="1"/>
    <ignoredError sqref="G17:G34" formula="1" formulaRange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6.253906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1" t="s">
        <v>25</v>
      </c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5">
        <v>18</v>
      </c>
      <c r="C9" s="99">
        <v>441</v>
      </c>
      <c r="D9" s="76">
        <v>197</v>
      </c>
      <c r="E9" s="164">
        <v>14</v>
      </c>
      <c r="F9" s="164">
        <v>82</v>
      </c>
      <c r="G9" s="74">
        <f aca="true" t="shared" si="0" ref="G9:G34">+C9/B9</f>
        <v>24.5</v>
      </c>
      <c r="H9" s="75"/>
      <c r="I9" s="165"/>
      <c r="J9" s="76"/>
      <c r="K9" s="80"/>
      <c r="L9" s="80"/>
      <c r="M9" s="166"/>
      <c r="N9" s="75">
        <f aca="true" t="shared" si="1" ref="N9:N33">+B9+H9</f>
        <v>18</v>
      </c>
      <c r="O9" s="75">
        <f aca="true" t="shared" si="2" ref="O9:O34">+C9+I9</f>
        <v>441</v>
      </c>
      <c r="P9" s="80">
        <f aca="true" t="shared" si="3" ref="P9:P34">+D9+J9</f>
        <v>197</v>
      </c>
      <c r="Q9" s="164">
        <f aca="true" t="shared" si="4" ref="Q9:Q34">+E9+K9</f>
        <v>14</v>
      </c>
      <c r="R9" s="164">
        <f aca="true" t="shared" si="5" ref="R9:R34">+F9+L9</f>
        <v>82</v>
      </c>
      <c r="S9" s="74">
        <f aca="true" t="shared" si="6" ref="S9:S34">+O9/N9</f>
        <v>24.5</v>
      </c>
    </row>
    <row r="10" spans="1:19" ht="12">
      <c r="A10" s="69" t="s">
        <v>10</v>
      </c>
      <c r="B10" s="75">
        <f>+B11+B12+B13</f>
        <v>38</v>
      </c>
      <c r="C10" s="99">
        <f>+C11+C12+C13</f>
        <v>937</v>
      </c>
      <c r="D10" s="76">
        <f>+D11+D12+D13</f>
        <v>454</v>
      </c>
      <c r="E10" s="76">
        <f>+E11+E12+E13</f>
        <v>23</v>
      </c>
      <c r="F10" s="76">
        <f>+F11+F12+F13</f>
        <v>234</v>
      </c>
      <c r="G10" s="74">
        <f t="shared" si="0"/>
        <v>24.657894736842106</v>
      </c>
      <c r="H10" s="75">
        <f>+H11+H12+H13</f>
        <v>9</v>
      </c>
      <c r="I10" s="99">
        <f>+I11+I12+I13</f>
        <v>222</v>
      </c>
      <c r="J10" s="76">
        <f>+J11+J12+J13</f>
        <v>96</v>
      </c>
      <c r="K10" s="76">
        <f>+K11+K12+K13</f>
        <v>2</v>
      </c>
      <c r="L10" s="76">
        <f>+L11+L12+L13</f>
        <v>78</v>
      </c>
      <c r="M10" s="74">
        <f>+I10/H10</f>
        <v>24.666666666666668</v>
      </c>
      <c r="N10" s="75">
        <f t="shared" si="1"/>
        <v>47</v>
      </c>
      <c r="O10" s="75">
        <f t="shared" si="2"/>
        <v>1159</v>
      </c>
      <c r="P10" s="80">
        <f t="shared" si="3"/>
        <v>550</v>
      </c>
      <c r="Q10" s="76">
        <f t="shared" si="4"/>
        <v>25</v>
      </c>
      <c r="R10" s="76">
        <f t="shared" si="5"/>
        <v>312</v>
      </c>
      <c r="S10" s="74">
        <f t="shared" si="6"/>
        <v>24.659574468085108</v>
      </c>
    </row>
    <row r="11" spans="1:19" ht="12">
      <c r="A11" s="77" t="s">
        <v>29</v>
      </c>
      <c r="B11" s="123">
        <v>19</v>
      </c>
      <c r="C11" s="165">
        <v>459</v>
      </c>
      <c r="D11" s="175">
        <v>224</v>
      </c>
      <c r="E11" s="152">
        <v>13</v>
      </c>
      <c r="F11" s="152">
        <v>138</v>
      </c>
      <c r="G11" s="79">
        <f t="shared" si="0"/>
        <v>24.157894736842106</v>
      </c>
      <c r="H11" s="123">
        <v>5</v>
      </c>
      <c r="I11" s="165">
        <v>117</v>
      </c>
      <c r="J11" s="175">
        <v>48</v>
      </c>
      <c r="K11" s="153"/>
      <c r="L11" s="153">
        <v>52</v>
      </c>
      <c r="M11" s="162">
        <v>23.4</v>
      </c>
      <c r="N11" s="123">
        <f t="shared" si="1"/>
        <v>24</v>
      </c>
      <c r="O11" s="123">
        <f t="shared" si="2"/>
        <v>576</v>
      </c>
      <c r="P11" s="153">
        <f t="shared" si="3"/>
        <v>272</v>
      </c>
      <c r="Q11" s="152">
        <f t="shared" si="4"/>
        <v>13</v>
      </c>
      <c r="R11" s="152">
        <f t="shared" si="5"/>
        <v>190</v>
      </c>
      <c r="S11" s="79">
        <f t="shared" si="6"/>
        <v>24</v>
      </c>
    </row>
    <row r="12" spans="1:19" ht="12">
      <c r="A12" s="77" t="s">
        <v>30</v>
      </c>
      <c r="B12" s="123">
        <v>10</v>
      </c>
      <c r="C12" s="165">
        <v>256</v>
      </c>
      <c r="D12" s="175">
        <v>121</v>
      </c>
      <c r="E12" s="152">
        <v>4</v>
      </c>
      <c r="F12" s="152">
        <v>37</v>
      </c>
      <c r="G12" s="79">
        <f t="shared" si="0"/>
        <v>25.6</v>
      </c>
      <c r="H12" s="123">
        <v>4</v>
      </c>
      <c r="I12" s="174">
        <v>105</v>
      </c>
      <c r="J12" s="175">
        <v>48</v>
      </c>
      <c r="K12" s="153">
        <v>2</v>
      </c>
      <c r="L12" s="153">
        <v>26</v>
      </c>
      <c r="M12" s="162">
        <v>26.25</v>
      </c>
      <c r="N12" s="123">
        <f t="shared" si="1"/>
        <v>14</v>
      </c>
      <c r="O12" s="123">
        <f t="shared" si="2"/>
        <v>361</v>
      </c>
      <c r="P12" s="153">
        <f t="shared" si="3"/>
        <v>169</v>
      </c>
      <c r="Q12" s="152">
        <f t="shared" si="4"/>
        <v>6</v>
      </c>
      <c r="R12" s="152">
        <f t="shared" si="5"/>
        <v>63</v>
      </c>
      <c r="S12" s="79">
        <f t="shared" si="6"/>
        <v>25.785714285714285</v>
      </c>
    </row>
    <row r="13" spans="1:19" ht="12">
      <c r="A13" s="77" t="s">
        <v>31</v>
      </c>
      <c r="B13" s="123">
        <v>9</v>
      </c>
      <c r="C13" s="165">
        <v>222</v>
      </c>
      <c r="D13" s="175">
        <v>109</v>
      </c>
      <c r="E13" s="152">
        <v>6</v>
      </c>
      <c r="F13" s="152">
        <v>59</v>
      </c>
      <c r="G13" s="79">
        <f t="shared" si="0"/>
        <v>24.666666666666668</v>
      </c>
      <c r="H13" s="123"/>
      <c r="I13" s="174"/>
      <c r="J13" s="175"/>
      <c r="K13" s="153"/>
      <c r="L13" s="153"/>
      <c r="M13" s="166"/>
      <c r="N13" s="123">
        <f t="shared" si="1"/>
        <v>9</v>
      </c>
      <c r="O13" s="123">
        <f t="shared" si="2"/>
        <v>222</v>
      </c>
      <c r="P13" s="153">
        <f t="shared" si="3"/>
        <v>109</v>
      </c>
      <c r="Q13" s="152">
        <f t="shared" si="4"/>
        <v>6</v>
      </c>
      <c r="R13" s="152">
        <f t="shared" si="5"/>
        <v>59</v>
      </c>
      <c r="S13" s="79">
        <f t="shared" si="6"/>
        <v>24.666666666666668</v>
      </c>
    </row>
    <row r="14" spans="1:19" ht="12">
      <c r="A14" s="69" t="s">
        <v>11</v>
      </c>
      <c r="B14" s="75">
        <f>SUM(B15:B16)</f>
        <v>17</v>
      </c>
      <c r="C14" s="75">
        <f>SUM(C15:C16)</f>
        <v>414</v>
      </c>
      <c r="D14" s="80">
        <f>SUM(D15:D16)</f>
        <v>212</v>
      </c>
      <c r="E14" s="80">
        <f>SUM(E15:E16)</f>
        <v>10</v>
      </c>
      <c r="F14" s="80">
        <f>SUM(F15:F16)</f>
        <v>81</v>
      </c>
      <c r="G14" s="74">
        <f t="shared" si="0"/>
        <v>24.352941176470587</v>
      </c>
      <c r="H14" s="75">
        <f>SUM(H15:H16)</f>
        <v>3</v>
      </c>
      <c r="I14" s="75">
        <f>SUM(I15:I16)</f>
        <v>72</v>
      </c>
      <c r="J14" s="80">
        <f>SUM(J15:J16)</f>
        <v>33</v>
      </c>
      <c r="K14" s="80">
        <f>SUM(K15:K16)</f>
        <v>4</v>
      </c>
      <c r="L14" s="80">
        <f>SUM(L15:L16)</f>
        <v>18</v>
      </c>
      <c r="M14" s="74">
        <f>+I14/H14</f>
        <v>24</v>
      </c>
      <c r="N14" s="75">
        <f t="shared" si="1"/>
        <v>20</v>
      </c>
      <c r="O14" s="75">
        <f t="shared" si="2"/>
        <v>486</v>
      </c>
      <c r="P14" s="80">
        <f t="shared" si="3"/>
        <v>245</v>
      </c>
      <c r="Q14" s="76">
        <f t="shared" si="4"/>
        <v>14</v>
      </c>
      <c r="R14" s="76">
        <f t="shared" si="5"/>
        <v>99</v>
      </c>
      <c r="S14" s="74">
        <f t="shared" si="6"/>
        <v>24.3</v>
      </c>
    </row>
    <row r="15" spans="1:19" ht="12">
      <c r="A15" s="77" t="s">
        <v>32</v>
      </c>
      <c r="B15" s="123">
        <v>5</v>
      </c>
      <c r="C15" s="174">
        <v>125</v>
      </c>
      <c r="D15" s="176">
        <v>68</v>
      </c>
      <c r="E15" s="152">
        <v>3</v>
      </c>
      <c r="F15" s="152">
        <v>24</v>
      </c>
      <c r="G15" s="79">
        <f t="shared" si="0"/>
        <v>25</v>
      </c>
      <c r="H15" s="123">
        <v>3</v>
      </c>
      <c r="I15" s="165">
        <v>72</v>
      </c>
      <c r="J15" s="176">
        <v>33</v>
      </c>
      <c r="K15" s="153">
        <v>4</v>
      </c>
      <c r="L15" s="153">
        <v>18</v>
      </c>
      <c r="M15" s="162">
        <v>24</v>
      </c>
      <c r="N15" s="123">
        <f t="shared" si="1"/>
        <v>8</v>
      </c>
      <c r="O15" s="123">
        <f t="shared" si="2"/>
        <v>197</v>
      </c>
      <c r="P15" s="153">
        <f t="shared" si="3"/>
        <v>101</v>
      </c>
      <c r="Q15" s="152">
        <f t="shared" si="4"/>
        <v>7</v>
      </c>
      <c r="R15" s="152">
        <f t="shared" si="5"/>
        <v>42</v>
      </c>
      <c r="S15" s="79">
        <f t="shared" si="6"/>
        <v>24.625</v>
      </c>
    </row>
    <row r="16" spans="1:19" ht="12">
      <c r="A16" s="77" t="s">
        <v>33</v>
      </c>
      <c r="B16" s="123">
        <v>12</v>
      </c>
      <c r="C16" s="174">
        <v>289</v>
      </c>
      <c r="D16" s="176">
        <v>144</v>
      </c>
      <c r="E16" s="152">
        <v>7</v>
      </c>
      <c r="F16" s="152">
        <v>57</v>
      </c>
      <c r="G16" s="79">
        <f t="shared" si="0"/>
        <v>24.083333333333332</v>
      </c>
      <c r="H16" s="123"/>
      <c r="I16" s="165"/>
      <c r="J16" s="176"/>
      <c r="K16" s="153"/>
      <c r="L16" s="153"/>
      <c r="M16" s="166"/>
      <c r="N16" s="123">
        <f t="shared" si="1"/>
        <v>12</v>
      </c>
      <c r="O16" s="123">
        <f t="shared" si="2"/>
        <v>289</v>
      </c>
      <c r="P16" s="153">
        <f t="shared" si="3"/>
        <v>144</v>
      </c>
      <c r="Q16" s="152">
        <f t="shared" si="4"/>
        <v>7</v>
      </c>
      <c r="R16" s="152">
        <f t="shared" si="5"/>
        <v>57</v>
      </c>
      <c r="S16" s="79">
        <f t="shared" si="6"/>
        <v>24.083333333333332</v>
      </c>
    </row>
    <row r="17" spans="1:19" ht="12">
      <c r="A17" s="69" t="s">
        <v>12</v>
      </c>
      <c r="B17" s="75">
        <f>SUM(B18:B19)</f>
        <v>24</v>
      </c>
      <c r="C17" s="75">
        <f>SUM(C18:C19)</f>
        <v>594</v>
      </c>
      <c r="D17" s="80">
        <f>SUM(D18:D19)</f>
        <v>302</v>
      </c>
      <c r="E17" s="80">
        <f>SUM(E18:E19)</f>
        <v>14</v>
      </c>
      <c r="F17" s="80">
        <f>SUM(F18:F19)</f>
        <v>70</v>
      </c>
      <c r="G17" s="74">
        <f t="shared" si="0"/>
        <v>24.75</v>
      </c>
      <c r="H17" s="75">
        <f>SUM(H18:H19)</f>
        <v>2</v>
      </c>
      <c r="I17" s="75">
        <f>SUM(I18:I19)</f>
        <v>49</v>
      </c>
      <c r="J17" s="80">
        <f>SUM(J18:J19)</f>
        <v>20</v>
      </c>
      <c r="K17" s="80">
        <f>SUM(K18:K19)</f>
        <v>2</v>
      </c>
      <c r="L17" s="80">
        <f>SUM(L18:L19)</f>
        <v>18</v>
      </c>
      <c r="M17" s="74">
        <f>+I17/H17</f>
        <v>24.5</v>
      </c>
      <c r="N17" s="75">
        <f t="shared" si="1"/>
        <v>26</v>
      </c>
      <c r="O17" s="75">
        <f t="shared" si="2"/>
        <v>643</v>
      </c>
      <c r="P17" s="80">
        <f t="shared" si="3"/>
        <v>322</v>
      </c>
      <c r="Q17" s="76">
        <f t="shared" si="4"/>
        <v>16</v>
      </c>
      <c r="R17" s="76">
        <f t="shared" si="5"/>
        <v>88</v>
      </c>
      <c r="S17" s="74">
        <f t="shared" si="6"/>
        <v>24.73076923076923</v>
      </c>
    </row>
    <row r="18" spans="1:19" ht="12">
      <c r="A18" s="77" t="s">
        <v>34</v>
      </c>
      <c r="B18" s="123">
        <v>12</v>
      </c>
      <c r="C18" s="165">
        <v>300</v>
      </c>
      <c r="D18" s="175">
        <v>160</v>
      </c>
      <c r="E18" s="152">
        <v>8</v>
      </c>
      <c r="F18" s="152">
        <v>26</v>
      </c>
      <c r="G18" s="79">
        <f t="shared" si="0"/>
        <v>25</v>
      </c>
      <c r="H18" s="123">
        <v>2</v>
      </c>
      <c r="I18" s="165">
        <v>49</v>
      </c>
      <c r="J18" s="175">
        <v>20</v>
      </c>
      <c r="K18" s="153">
        <v>2</v>
      </c>
      <c r="L18" s="153">
        <v>18</v>
      </c>
      <c r="M18" s="162">
        <v>24.5</v>
      </c>
      <c r="N18" s="123">
        <f t="shared" si="1"/>
        <v>14</v>
      </c>
      <c r="O18" s="123">
        <f t="shared" si="2"/>
        <v>349</v>
      </c>
      <c r="P18" s="153">
        <f t="shared" si="3"/>
        <v>180</v>
      </c>
      <c r="Q18" s="152">
        <f t="shared" si="4"/>
        <v>10</v>
      </c>
      <c r="R18" s="152">
        <f t="shared" si="5"/>
        <v>44</v>
      </c>
      <c r="S18" s="79">
        <f t="shared" si="6"/>
        <v>24.928571428571427</v>
      </c>
    </row>
    <row r="19" spans="1:19" ht="12">
      <c r="A19" s="77" t="s">
        <v>35</v>
      </c>
      <c r="B19" s="123">
        <v>12</v>
      </c>
      <c r="C19" s="165">
        <v>294</v>
      </c>
      <c r="D19" s="175">
        <v>142</v>
      </c>
      <c r="E19" s="152">
        <v>6</v>
      </c>
      <c r="F19" s="152">
        <v>44</v>
      </c>
      <c r="G19" s="79">
        <f t="shared" si="0"/>
        <v>24.5</v>
      </c>
      <c r="H19" s="123"/>
      <c r="I19" s="165"/>
      <c r="J19" s="175"/>
      <c r="K19" s="153"/>
      <c r="L19" s="153"/>
      <c r="M19" s="166"/>
      <c r="N19" s="123">
        <f t="shared" si="1"/>
        <v>12</v>
      </c>
      <c r="O19" s="123">
        <f t="shared" si="2"/>
        <v>294</v>
      </c>
      <c r="P19" s="153">
        <f t="shared" si="3"/>
        <v>142</v>
      </c>
      <c r="Q19" s="152">
        <f t="shared" si="4"/>
        <v>6</v>
      </c>
      <c r="R19" s="152">
        <f t="shared" si="5"/>
        <v>44</v>
      </c>
      <c r="S19" s="79">
        <f t="shared" si="6"/>
        <v>24.5</v>
      </c>
    </row>
    <row r="20" spans="1:21" ht="12">
      <c r="A20" s="69" t="s">
        <v>36</v>
      </c>
      <c r="B20" s="75">
        <v>16</v>
      </c>
      <c r="C20" s="99">
        <v>386</v>
      </c>
      <c r="D20" s="76">
        <v>174</v>
      </c>
      <c r="E20" s="76">
        <v>9</v>
      </c>
      <c r="F20" s="76">
        <v>98</v>
      </c>
      <c r="G20" s="74">
        <f t="shared" si="0"/>
        <v>24.125</v>
      </c>
      <c r="H20" s="75">
        <v>16</v>
      </c>
      <c r="I20" s="99">
        <v>386</v>
      </c>
      <c r="J20" s="76">
        <v>174</v>
      </c>
      <c r="K20" s="76">
        <v>9</v>
      </c>
      <c r="L20" s="76">
        <v>98</v>
      </c>
      <c r="M20" s="74">
        <f>+I20/H20</f>
        <v>24.125</v>
      </c>
      <c r="N20" s="75">
        <f t="shared" si="1"/>
        <v>32</v>
      </c>
      <c r="O20" s="75">
        <f t="shared" si="2"/>
        <v>772</v>
      </c>
      <c r="P20" s="80">
        <f t="shared" si="3"/>
        <v>348</v>
      </c>
      <c r="Q20" s="76">
        <f t="shared" si="4"/>
        <v>18</v>
      </c>
      <c r="R20" s="76">
        <f t="shared" si="5"/>
        <v>196</v>
      </c>
      <c r="S20" s="74">
        <f t="shared" si="6"/>
        <v>24.125</v>
      </c>
      <c r="U20" s="22"/>
    </row>
    <row r="21" spans="1:19" ht="12">
      <c r="A21" s="69" t="s">
        <v>37</v>
      </c>
      <c r="B21" s="81">
        <f>SUM(B22:B24)</f>
        <v>30</v>
      </c>
      <c r="C21" s="81">
        <f>SUM(C22:C24)</f>
        <v>724</v>
      </c>
      <c r="D21" s="82">
        <f>SUM(D22:D24)</f>
        <v>355</v>
      </c>
      <c r="E21" s="82">
        <f>SUM(E22:E24)</f>
        <v>19</v>
      </c>
      <c r="F21" s="82">
        <f>SUM(F22:F24)</f>
        <v>48</v>
      </c>
      <c r="G21" s="74">
        <f t="shared" si="0"/>
        <v>24.133333333333333</v>
      </c>
      <c r="H21" s="81">
        <f>SUM(H22:H24)</f>
        <v>5</v>
      </c>
      <c r="I21" s="81">
        <f>SUM(I22:I24)</f>
        <v>124</v>
      </c>
      <c r="J21" s="82">
        <f>SUM(J22:J24)</f>
        <v>59</v>
      </c>
      <c r="K21" s="82">
        <f>SUM(K22:K24)</f>
        <v>0</v>
      </c>
      <c r="L21" s="82">
        <f>SUM(L22:L24)</f>
        <v>28</v>
      </c>
      <c r="M21" s="74">
        <f>+I21/H21</f>
        <v>24.8</v>
      </c>
      <c r="N21" s="75">
        <f t="shared" si="1"/>
        <v>35</v>
      </c>
      <c r="O21" s="75">
        <f t="shared" si="2"/>
        <v>848</v>
      </c>
      <c r="P21" s="80">
        <f t="shared" si="3"/>
        <v>414</v>
      </c>
      <c r="Q21" s="76">
        <f t="shared" si="4"/>
        <v>19</v>
      </c>
      <c r="R21" s="76">
        <f t="shared" si="5"/>
        <v>76</v>
      </c>
      <c r="S21" s="74">
        <f t="shared" si="6"/>
        <v>24.228571428571428</v>
      </c>
    </row>
    <row r="22" spans="1:21" ht="12">
      <c r="A22" s="77" t="s">
        <v>38</v>
      </c>
      <c r="B22" s="146">
        <v>7</v>
      </c>
      <c r="C22" s="165">
        <v>166</v>
      </c>
      <c r="D22" s="175">
        <v>70</v>
      </c>
      <c r="E22" s="152">
        <v>3</v>
      </c>
      <c r="F22" s="152">
        <v>9</v>
      </c>
      <c r="G22" s="79">
        <f t="shared" si="0"/>
        <v>23.714285714285715</v>
      </c>
      <c r="H22" s="123"/>
      <c r="I22" s="165"/>
      <c r="J22" s="175"/>
      <c r="K22" s="153"/>
      <c r="L22" s="153"/>
      <c r="M22" s="166"/>
      <c r="N22" s="123">
        <f t="shared" si="1"/>
        <v>7</v>
      </c>
      <c r="O22" s="123">
        <f t="shared" si="2"/>
        <v>166</v>
      </c>
      <c r="P22" s="153">
        <f t="shared" si="3"/>
        <v>70</v>
      </c>
      <c r="Q22" s="152">
        <f t="shared" si="4"/>
        <v>3</v>
      </c>
      <c r="R22" s="152">
        <f t="shared" si="5"/>
        <v>9</v>
      </c>
      <c r="S22" s="79">
        <f t="shared" si="6"/>
        <v>23.714285714285715</v>
      </c>
      <c r="U22" s="22"/>
    </row>
    <row r="23" spans="1:19" ht="12">
      <c r="A23" s="77" t="s">
        <v>39</v>
      </c>
      <c r="B23" s="146">
        <v>8</v>
      </c>
      <c r="C23" s="165">
        <v>197</v>
      </c>
      <c r="D23" s="175">
        <v>106</v>
      </c>
      <c r="E23" s="152">
        <v>8</v>
      </c>
      <c r="F23" s="152">
        <v>15</v>
      </c>
      <c r="G23" s="79">
        <f t="shared" si="0"/>
        <v>24.625</v>
      </c>
      <c r="H23" s="123"/>
      <c r="I23" s="165"/>
      <c r="J23" s="175"/>
      <c r="K23" s="153"/>
      <c r="L23" s="153"/>
      <c r="M23" s="166"/>
      <c r="N23" s="123">
        <f t="shared" si="1"/>
        <v>8</v>
      </c>
      <c r="O23" s="123">
        <f t="shared" si="2"/>
        <v>197</v>
      </c>
      <c r="P23" s="153">
        <f t="shared" si="3"/>
        <v>106</v>
      </c>
      <c r="Q23" s="152">
        <f t="shared" si="4"/>
        <v>8</v>
      </c>
      <c r="R23" s="152">
        <f t="shared" si="5"/>
        <v>15</v>
      </c>
      <c r="S23" s="79">
        <f t="shared" si="6"/>
        <v>24.625</v>
      </c>
    </row>
    <row r="24" spans="1:19" ht="12">
      <c r="A24" s="77" t="s">
        <v>40</v>
      </c>
      <c r="B24" s="146">
        <v>15</v>
      </c>
      <c r="C24" s="165">
        <v>361</v>
      </c>
      <c r="D24" s="175">
        <v>179</v>
      </c>
      <c r="E24" s="152">
        <v>8</v>
      </c>
      <c r="F24" s="152">
        <v>24</v>
      </c>
      <c r="G24" s="79">
        <f t="shared" si="0"/>
        <v>24.066666666666666</v>
      </c>
      <c r="H24" s="123">
        <v>5</v>
      </c>
      <c r="I24" s="165">
        <v>124</v>
      </c>
      <c r="J24" s="175">
        <v>59</v>
      </c>
      <c r="K24" s="153"/>
      <c r="L24" s="153">
        <v>28</v>
      </c>
      <c r="M24" s="162">
        <v>24.8</v>
      </c>
      <c r="N24" s="123">
        <f t="shared" si="1"/>
        <v>20</v>
      </c>
      <c r="O24" s="123">
        <f t="shared" si="2"/>
        <v>485</v>
      </c>
      <c r="P24" s="153">
        <f t="shared" si="3"/>
        <v>238</v>
      </c>
      <c r="Q24" s="152">
        <f t="shared" si="4"/>
        <v>8</v>
      </c>
      <c r="R24" s="152">
        <f t="shared" si="5"/>
        <v>52</v>
      </c>
      <c r="S24" s="79">
        <f t="shared" si="6"/>
        <v>24.25</v>
      </c>
    </row>
    <row r="25" spans="1:19" ht="12">
      <c r="A25" s="69" t="s">
        <v>41</v>
      </c>
      <c r="B25" s="75">
        <f>SUM(B26:B27)</f>
        <v>18</v>
      </c>
      <c r="C25" s="75">
        <f>SUM(C26:C27)</f>
        <v>441</v>
      </c>
      <c r="D25" s="80">
        <f>SUM(D26:D27)</f>
        <v>225</v>
      </c>
      <c r="E25" s="80">
        <f>SUM(E26:E27)</f>
        <v>10</v>
      </c>
      <c r="F25" s="80">
        <f>SUM(F26:F27)</f>
        <v>68</v>
      </c>
      <c r="G25" s="74">
        <f t="shared" si="0"/>
        <v>24.5</v>
      </c>
      <c r="H25" s="75">
        <f>SUM(H26:H27)</f>
        <v>12</v>
      </c>
      <c r="I25" s="75">
        <f>SUM(I26:I27)</f>
        <v>248</v>
      </c>
      <c r="J25" s="80">
        <f>SUM(J26:J27)</f>
        <v>121</v>
      </c>
      <c r="K25" s="80">
        <f>SUM(K26:K27)</f>
        <v>5</v>
      </c>
      <c r="L25" s="80">
        <f>SUM(L26:L27)</f>
        <v>76</v>
      </c>
      <c r="M25" s="74">
        <f>+I25/H25</f>
        <v>20.666666666666668</v>
      </c>
      <c r="N25" s="75">
        <f t="shared" si="1"/>
        <v>30</v>
      </c>
      <c r="O25" s="75">
        <f t="shared" si="2"/>
        <v>689</v>
      </c>
      <c r="P25" s="80">
        <f t="shared" si="3"/>
        <v>346</v>
      </c>
      <c r="Q25" s="76">
        <f t="shared" si="4"/>
        <v>15</v>
      </c>
      <c r="R25" s="76">
        <f t="shared" si="5"/>
        <v>144</v>
      </c>
      <c r="S25" s="74">
        <f t="shared" si="6"/>
        <v>22.966666666666665</v>
      </c>
    </row>
    <row r="26" spans="1:19" ht="12">
      <c r="A26" s="77" t="s">
        <v>42</v>
      </c>
      <c r="B26" s="123">
        <v>8</v>
      </c>
      <c r="C26" s="165">
        <v>192</v>
      </c>
      <c r="D26" s="175">
        <v>99</v>
      </c>
      <c r="E26" s="152">
        <v>4</v>
      </c>
      <c r="F26" s="152">
        <v>52</v>
      </c>
      <c r="G26" s="79">
        <f t="shared" si="0"/>
        <v>24</v>
      </c>
      <c r="H26" s="123"/>
      <c r="I26" s="165"/>
      <c r="J26" s="175"/>
      <c r="K26" s="153"/>
      <c r="L26" s="153"/>
      <c r="M26" s="166"/>
      <c r="N26" s="123">
        <f t="shared" si="1"/>
        <v>8</v>
      </c>
      <c r="O26" s="123">
        <f t="shared" si="2"/>
        <v>192</v>
      </c>
      <c r="P26" s="153">
        <f t="shared" si="3"/>
        <v>99</v>
      </c>
      <c r="Q26" s="152">
        <f t="shared" si="4"/>
        <v>4</v>
      </c>
      <c r="R26" s="152">
        <f t="shared" si="5"/>
        <v>52</v>
      </c>
      <c r="S26" s="79">
        <f t="shared" si="6"/>
        <v>24</v>
      </c>
    </row>
    <row r="27" spans="1:19" ht="12">
      <c r="A27" s="77" t="s">
        <v>43</v>
      </c>
      <c r="B27" s="123">
        <v>10</v>
      </c>
      <c r="C27" s="165">
        <v>249</v>
      </c>
      <c r="D27" s="175">
        <v>126</v>
      </c>
      <c r="E27" s="152">
        <v>6</v>
      </c>
      <c r="F27" s="152">
        <v>16</v>
      </c>
      <c r="G27" s="79">
        <f t="shared" si="0"/>
        <v>24.9</v>
      </c>
      <c r="H27" s="123">
        <v>12</v>
      </c>
      <c r="I27" s="165">
        <v>248</v>
      </c>
      <c r="J27" s="175">
        <v>121</v>
      </c>
      <c r="K27" s="153">
        <v>5</v>
      </c>
      <c r="L27" s="153">
        <v>76</v>
      </c>
      <c r="M27" s="162">
        <v>20.666666666666668</v>
      </c>
      <c r="N27" s="123">
        <f t="shared" si="1"/>
        <v>22</v>
      </c>
      <c r="O27" s="123">
        <f t="shared" si="2"/>
        <v>497</v>
      </c>
      <c r="P27" s="153">
        <f t="shared" si="3"/>
        <v>247</v>
      </c>
      <c r="Q27" s="152">
        <f t="shared" si="4"/>
        <v>11</v>
      </c>
      <c r="R27" s="152">
        <f t="shared" si="5"/>
        <v>92</v>
      </c>
      <c r="S27" s="79">
        <f t="shared" si="6"/>
        <v>22.59090909090909</v>
      </c>
    </row>
    <row r="28" spans="1:19" ht="12">
      <c r="A28" s="69" t="s">
        <v>16</v>
      </c>
      <c r="B28" s="75">
        <f>SUM(B29:B30)</f>
        <v>22</v>
      </c>
      <c r="C28" s="75">
        <f>SUM(C29:C30)</f>
        <v>526</v>
      </c>
      <c r="D28" s="80">
        <f>SUM(D29:D30)</f>
        <v>241</v>
      </c>
      <c r="E28" s="80">
        <f>SUM(E29:E30)</f>
        <v>14</v>
      </c>
      <c r="F28" s="80">
        <f>SUM(F29:F30)</f>
        <v>68</v>
      </c>
      <c r="G28" s="74">
        <f t="shared" si="0"/>
        <v>23.90909090909091</v>
      </c>
      <c r="H28" s="75">
        <f>SUM(H29:H30)</f>
        <v>2</v>
      </c>
      <c r="I28" s="75">
        <f>SUM(I29:I30)</f>
        <v>41</v>
      </c>
      <c r="J28" s="80">
        <f>SUM(J29:J30)</f>
        <v>15</v>
      </c>
      <c r="K28" s="80">
        <f>SUM(K29:K30)</f>
        <v>0</v>
      </c>
      <c r="L28" s="80">
        <f>SUM(L29:L30)</f>
        <v>10</v>
      </c>
      <c r="M28" s="74">
        <f>+I28/H28</f>
        <v>20.5</v>
      </c>
      <c r="N28" s="75">
        <f t="shared" si="1"/>
        <v>24</v>
      </c>
      <c r="O28" s="75">
        <f t="shared" si="2"/>
        <v>567</v>
      </c>
      <c r="P28" s="80">
        <f t="shared" si="3"/>
        <v>256</v>
      </c>
      <c r="Q28" s="76">
        <f t="shared" si="4"/>
        <v>14</v>
      </c>
      <c r="R28" s="76">
        <f t="shared" si="5"/>
        <v>78</v>
      </c>
      <c r="S28" s="74">
        <f t="shared" si="6"/>
        <v>23.625</v>
      </c>
    </row>
    <row r="29" spans="1:19" ht="12">
      <c r="A29" s="77" t="s">
        <v>44</v>
      </c>
      <c r="B29" s="123">
        <v>18</v>
      </c>
      <c r="C29" s="165">
        <v>442</v>
      </c>
      <c r="D29" s="175">
        <v>210</v>
      </c>
      <c r="E29" s="152">
        <v>12</v>
      </c>
      <c r="F29" s="152">
        <v>46</v>
      </c>
      <c r="G29" s="79">
        <f t="shared" si="0"/>
        <v>24.555555555555557</v>
      </c>
      <c r="H29" s="123"/>
      <c r="I29" s="165"/>
      <c r="J29" s="175"/>
      <c r="K29" s="153"/>
      <c r="L29" s="153"/>
      <c r="M29" s="166"/>
      <c r="N29" s="123">
        <f t="shared" si="1"/>
        <v>18</v>
      </c>
      <c r="O29" s="123">
        <f t="shared" si="2"/>
        <v>442</v>
      </c>
      <c r="P29" s="153">
        <f t="shared" si="3"/>
        <v>210</v>
      </c>
      <c r="Q29" s="152">
        <f t="shared" si="4"/>
        <v>12</v>
      </c>
      <c r="R29" s="152">
        <f t="shared" si="5"/>
        <v>46</v>
      </c>
      <c r="S29" s="79">
        <f t="shared" si="6"/>
        <v>24.555555555555557</v>
      </c>
    </row>
    <row r="30" spans="1:19" ht="12">
      <c r="A30" s="77" t="s">
        <v>45</v>
      </c>
      <c r="B30" s="123">
        <v>4</v>
      </c>
      <c r="C30" s="165">
        <v>84</v>
      </c>
      <c r="D30" s="175">
        <v>31</v>
      </c>
      <c r="E30" s="152">
        <v>2</v>
      </c>
      <c r="F30" s="152">
        <v>22</v>
      </c>
      <c r="G30" s="79">
        <f t="shared" si="0"/>
        <v>21</v>
      </c>
      <c r="H30" s="123">
        <v>2</v>
      </c>
      <c r="I30" s="165">
        <v>41</v>
      </c>
      <c r="J30" s="175">
        <v>15</v>
      </c>
      <c r="K30" s="153"/>
      <c r="L30" s="153">
        <v>10</v>
      </c>
      <c r="M30" s="162">
        <v>20.5</v>
      </c>
      <c r="N30" s="123">
        <f t="shared" si="1"/>
        <v>6</v>
      </c>
      <c r="O30" s="123">
        <f t="shared" si="2"/>
        <v>125</v>
      </c>
      <c r="P30" s="153">
        <f t="shared" si="3"/>
        <v>46</v>
      </c>
      <c r="Q30" s="152">
        <f t="shared" si="4"/>
        <v>2</v>
      </c>
      <c r="R30" s="152">
        <f t="shared" si="5"/>
        <v>32</v>
      </c>
      <c r="S30" s="79">
        <f t="shared" si="6"/>
        <v>20.833333333333332</v>
      </c>
    </row>
    <row r="31" spans="1:19" ht="12">
      <c r="A31" s="69" t="s">
        <v>17</v>
      </c>
      <c r="B31" s="75">
        <f>SUM(B32:B33)</f>
        <v>22</v>
      </c>
      <c r="C31" s="75">
        <f>SUM(C32:C33)</f>
        <v>556</v>
      </c>
      <c r="D31" s="80">
        <f>SUM(D32:D33)</f>
        <v>263</v>
      </c>
      <c r="E31" s="80">
        <f>SUM(E32:E33)</f>
        <v>15</v>
      </c>
      <c r="F31" s="80">
        <f>SUM(F32:F33)</f>
        <v>66</v>
      </c>
      <c r="G31" s="74">
        <f t="shared" si="0"/>
        <v>25.272727272727273</v>
      </c>
      <c r="H31" s="75">
        <f>SUM(H32:H33)</f>
        <v>14</v>
      </c>
      <c r="I31" s="75">
        <f>SUM(I32:I33)</f>
        <v>326</v>
      </c>
      <c r="J31" s="80">
        <f>SUM(J32:J33)</f>
        <v>143</v>
      </c>
      <c r="K31" s="80">
        <f>SUM(K32:K33)</f>
        <v>5</v>
      </c>
      <c r="L31" s="80">
        <f>SUM(L32:L33)</f>
        <v>57</v>
      </c>
      <c r="M31" s="74">
        <f>+I31/H31</f>
        <v>23.285714285714285</v>
      </c>
      <c r="N31" s="75">
        <f t="shared" si="1"/>
        <v>36</v>
      </c>
      <c r="O31" s="75">
        <f t="shared" si="2"/>
        <v>882</v>
      </c>
      <c r="P31" s="80">
        <f t="shared" si="3"/>
        <v>406</v>
      </c>
      <c r="Q31" s="76">
        <f t="shared" si="4"/>
        <v>20</v>
      </c>
      <c r="R31" s="76">
        <f t="shared" si="5"/>
        <v>123</v>
      </c>
      <c r="S31" s="74">
        <f t="shared" si="6"/>
        <v>24.5</v>
      </c>
    </row>
    <row r="32" spans="1:19" ht="12">
      <c r="A32" s="86" t="s">
        <v>46</v>
      </c>
      <c r="B32" s="123">
        <v>13</v>
      </c>
      <c r="C32" s="165">
        <v>325</v>
      </c>
      <c r="D32" s="175">
        <v>153</v>
      </c>
      <c r="E32" s="152">
        <v>14</v>
      </c>
      <c r="F32" s="152">
        <v>34</v>
      </c>
      <c r="G32" s="79">
        <f t="shared" si="0"/>
        <v>25</v>
      </c>
      <c r="H32" s="123">
        <v>11</v>
      </c>
      <c r="I32" s="165">
        <v>251</v>
      </c>
      <c r="J32" s="175">
        <v>116</v>
      </c>
      <c r="K32" s="153">
        <v>5</v>
      </c>
      <c r="L32" s="153">
        <v>37</v>
      </c>
      <c r="M32" s="162">
        <v>22.818181818181817</v>
      </c>
      <c r="N32" s="123">
        <f t="shared" si="1"/>
        <v>24</v>
      </c>
      <c r="O32" s="123">
        <f t="shared" si="2"/>
        <v>576</v>
      </c>
      <c r="P32" s="153">
        <f t="shared" si="3"/>
        <v>269</v>
      </c>
      <c r="Q32" s="152">
        <f t="shared" si="4"/>
        <v>19</v>
      </c>
      <c r="R32" s="152">
        <f t="shared" si="5"/>
        <v>71</v>
      </c>
      <c r="S32" s="79">
        <f t="shared" si="6"/>
        <v>24</v>
      </c>
    </row>
    <row r="33" spans="1:19" ht="12">
      <c r="A33" s="86" t="s">
        <v>47</v>
      </c>
      <c r="B33" s="155">
        <v>9</v>
      </c>
      <c r="C33" s="165">
        <v>231</v>
      </c>
      <c r="D33" s="175">
        <v>110</v>
      </c>
      <c r="E33" s="169">
        <v>1</v>
      </c>
      <c r="F33" s="169">
        <v>32</v>
      </c>
      <c r="G33" s="87">
        <f t="shared" si="0"/>
        <v>25.666666666666668</v>
      </c>
      <c r="H33" s="155">
        <v>3</v>
      </c>
      <c r="I33" s="165">
        <v>75</v>
      </c>
      <c r="J33" s="175">
        <v>27</v>
      </c>
      <c r="K33" s="156"/>
      <c r="L33" s="156">
        <v>20</v>
      </c>
      <c r="M33" s="170">
        <v>25</v>
      </c>
      <c r="N33" s="155">
        <f t="shared" si="1"/>
        <v>12</v>
      </c>
      <c r="O33" s="155">
        <f t="shared" si="2"/>
        <v>306</v>
      </c>
      <c r="P33" s="153">
        <f t="shared" si="3"/>
        <v>137</v>
      </c>
      <c r="Q33" s="169">
        <f t="shared" si="4"/>
        <v>1</v>
      </c>
      <c r="R33" s="169">
        <f t="shared" si="5"/>
        <v>52</v>
      </c>
      <c r="S33" s="87">
        <f t="shared" si="6"/>
        <v>25.5</v>
      </c>
    </row>
    <row r="34" spans="1:19" ht="12">
      <c r="A34" s="89" t="s">
        <v>48</v>
      </c>
      <c r="B34" s="90">
        <f>+B9+B10+B14+B17+B20+B21+B25+B28+B31</f>
        <v>205</v>
      </c>
      <c r="C34" s="91">
        <f>+C9+C10+C14+C17+C20+C21+C25+C28+C31</f>
        <v>5019</v>
      </c>
      <c r="D34" s="92">
        <f>+D9+D10+D14+D17+D20+D21+D25+D28+D31</f>
        <v>2423</v>
      </c>
      <c r="E34" s="93">
        <f>+E9+E10+E14+E17+E20+E21+E25+E28+E31</f>
        <v>128</v>
      </c>
      <c r="F34" s="93">
        <f>+F9+F10+F14+F17+F20+F21+F25+F28+F31</f>
        <v>815</v>
      </c>
      <c r="G34" s="94">
        <f t="shared" si="0"/>
        <v>24.482926829268294</v>
      </c>
      <c r="H34" s="90">
        <v>58</v>
      </c>
      <c r="I34" s="91">
        <v>1330</v>
      </c>
      <c r="J34" s="92">
        <v>594</v>
      </c>
      <c r="K34" s="95">
        <v>19</v>
      </c>
      <c r="L34" s="95">
        <v>374</v>
      </c>
      <c r="M34" s="96">
        <v>22.93103448275862</v>
      </c>
      <c r="N34" s="171">
        <f>+B34+H34</f>
        <v>263</v>
      </c>
      <c r="O34" s="171">
        <f t="shared" si="2"/>
        <v>6349</v>
      </c>
      <c r="P34" s="93">
        <f t="shared" si="3"/>
        <v>3017</v>
      </c>
      <c r="Q34" s="93">
        <f t="shared" si="4"/>
        <v>147</v>
      </c>
      <c r="R34" s="93">
        <f t="shared" si="5"/>
        <v>1189</v>
      </c>
      <c r="S34" s="94">
        <f t="shared" si="6"/>
        <v>24.140684410646386</v>
      </c>
    </row>
    <row r="35" spans="1:19" ht="12">
      <c r="A35" s="97" t="s">
        <v>62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4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14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173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7">
    <mergeCell ref="C5:G5"/>
    <mergeCell ref="I5:M5"/>
    <mergeCell ref="O5:S5"/>
    <mergeCell ref="B3:S3"/>
    <mergeCell ref="B4:G4"/>
    <mergeCell ref="H4:M4"/>
    <mergeCell ref="N4:S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&amp;R400042.xls</oddHeader>
    <oddFooter>&amp;LComune di Bologna - Dipartimento Programmazione</oddFooter>
  </headerFooter>
  <ignoredErrors>
    <ignoredError sqref="B10:F16 H10:S16 G9:S9 B32:F34 G32:S34 M17:S31" unlockedFormula="1"/>
    <ignoredError sqref="D8:R8 N1" numberStoredAsText="1"/>
    <ignoredError sqref="H17:L31 B17:F31 G10:G16 G17:G31" formulaRange="1" unlockedFormula="1"/>
    <ignoredError sqref="G10:G16" formula="1" unlockedFormula="1"/>
    <ignoredError sqref="G17:G31" formula="1" formulaRange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112" zoomScaleNormal="112"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6.253906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1" t="s">
        <v>25</v>
      </c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5">
        <v>18</v>
      </c>
      <c r="C9" s="99">
        <v>443</v>
      </c>
      <c r="D9" s="76">
        <v>194</v>
      </c>
      <c r="E9" s="164">
        <v>16</v>
      </c>
      <c r="F9" s="164">
        <v>68</v>
      </c>
      <c r="G9" s="74">
        <f aca="true" t="shared" si="0" ref="G9:G34">+C9/B9</f>
        <v>24.61111111111111</v>
      </c>
      <c r="H9" s="75"/>
      <c r="I9" s="165"/>
      <c r="J9" s="76"/>
      <c r="K9" s="80"/>
      <c r="L9" s="80"/>
      <c r="M9" s="166"/>
      <c r="N9" s="75">
        <f aca="true" t="shared" si="1" ref="N9:N34">+B9+H9</f>
        <v>18</v>
      </c>
      <c r="O9" s="75">
        <f aca="true" t="shared" si="2" ref="O9:O34">+C9+I9</f>
        <v>443</v>
      </c>
      <c r="P9" s="80">
        <f aca="true" t="shared" si="3" ref="P9:P34">+D9+J9</f>
        <v>194</v>
      </c>
      <c r="Q9" s="164">
        <f aca="true" t="shared" si="4" ref="Q9:Q34">+E9+K9</f>
        <v>16</v>
      </c>
      <c r="R9" s="164">
        <f aca="true" t="shared" si="5" ref="R9:R34">+F9+L9</f>
        <v>68</v>
      </c>
      <c r="S9" s="74">
        <f aca="true" t="shared" si="6" ref="S9:S34">+O9/N9</f>
        <v>24.61111111111111</v>
      </c>
    </row>
    <row r="10" spans="1:19" ht="12">
      <c r="A10" s="69" t="s">
        <v>10</v>
      </c>
      <c r="B10" s="75">
        <f>+B11+B12+B13</f>
        <v>38</v>
      </c>
      <c r="C10" s="99">
        <f>+C11+C12+C13</f>
        <v>938</v>
      </c>
      <c r="D10" s="76">
        <f>+D11+D12+D13</f>
        <v>456</v>
      </c>
      <c r="E10" s="76">
        <f>+E11+E12+E13</f>
        <v>20</v>
      </c>
      <c r="F10" s="76">
        <f>+F11+F12+F13</f>
        <v>214</v>
      </c>
      <c r="G10" s="74">
        <f t="shared" si="0"/>
        <v>24.68421052631579</v>
      </c>
      <c r="H10" s="75">
        <f>SUM(H11:H13)</f>
        <v>9</v>
      </c>
      <c r="I10" s="99">
        <f>SUM(I11:I13)</f>
        <v>217</v>
      </c>
      <c r="J10" s="76">
        <f>SUM(J11:J13)</f>
        <v>93</v>
      </c>
      <c r="K10" s="76">
        <f>SUM(K11:K13)</f>
        <v>5</v>
      </c>
      <c r="L10" s="76">
        <f>SUM(L11:L13)</f>
        <v>59</v>
      </c>
      <c r="M10" s="166">
        <f>+I10/H10</f>
        <v>24.11111111111111</v>
      </c>
      <c r="N10" s="75">
        <f t="shared" si="1"/>
        <v>47</v>
      </c>
      <c r="O10" s="75">
        <f t="shared" si="2"/>
        <v>1155</v>
      </c>
      <c r="P10" s="80">
        <f t="shared" si="3"/>
        <v>549</v>
      </c>
      <c r="Q10" s="76">
        <f t="shared" si="4"/>
        <v>25</v>
      </c>
      <c r="R10" s="76">
        <f t="shared" si="5"/>
        <v>273</v>
      </c>
      <c r="S10" s="74">
        <f t="shared" si="6"/>
        <v>24.574468085106382</v>
      </c>
    </row>
    <row r="11" spans="1:19" ht="12">
      <c r="A11" s="77" t="s">
        <v>29</v>
      </c>
      <c r="B11" s="123">
        <v>19</v>
      </c>
      <c r="C11" s="165">
        <v>461</v>
      </c>
      <c r="D11" s="175">
        <v>219</v>
      </c>
      <c r="E11" s="152">
        <v>13</v>
      </c>
      <c r="F11" s="152">
        <v>131</v>
      </c>
      <c r="G11" s="79">
        <f t="shared" si="0"/>
        <v>24.263157894736842</v>
      </c>
      <c r="H11" s="123">
        <v>5</v>
      </c>
      <c r="I11" s="165">
        <v>117</v>
      </c>
      <c r="J11" s="175">
        <v>46</v>
      </c>
      <c r="K11" s="153">
        <v>2</v>
      </c>
      <c r="L11" s="153">
        <v>42</v>
      </c>
      <c r="M11" s="162">
        <f>+I11/H11</f>
        <v>23.4</v>
      </c>
      <c r="N11" s="123">
        <f t="shared" si="1"/>
        <v>24</v>
      </c>
      <c r="O11" s="123">
        <f t="shared" si="2"/>
        <v>578</v>
      </c>
      <c r="P11" s="153">
        <f t="shared" si="3"/>
        <v>265</v>
      </c>
      <c r="Q11" s="152">
        <f t="shared" si="4"/>
        <v>15</v>
      </c>
      <c r="R11" s="152">
        <f t="shared" si="5"/>
        <v>173</v>
      </c>
      <c r="S11" s="79">
        <f t="shared" si="6"/>
        <v>24.083333333333332</v>
      </c>
    </row>
    <row r="12" spans="1:19" ht="12">
      <c r="A12" s="77" t="s">
        <v>30</v>
      </c>
      <c r="B12" s="123">
        <v>10</v>
      </c>
      <c r="C12" s="165">
        <v>254</v>
      </c>
      <c r="D12" s="175">
        <v>132</v>
      </c>
      <c r="E12" s="152">
        <v>4</v>
      </c>
      <c r="F12" s="152">
        <v>36</v>
      </c>
      <c r="G12" s="79">
        <f t="shared" si="0"/>
        <v>25.4</v>
      </c>
      <c r="H12" s="123">
        <v>4</v>
      </c>
      <c r="I12" s="174">
        <v>100</v>
      </c>
      <c r="J12" s="175">
        <v>47</v>
      </c>
      <c r="K12" s="153">
        <v>3</v>
      </c>
      <c r="L12" s="153">
        <v>17</v>
      </c>
      <c r="M12" s="162">
        <f>+I12/H12</f>
        <v>25</v>
      </c>
      <c r="N12" s="123">
        <f t="shared" si="1"/>
        <v>14</v>
      </c>
      <c r="O12" s="123">
        <f t="shared" si="2"/>
        <v>354</v>
      </c>
      <c r="P12" s="153">
        <f t="shared" si="3"/>
        <v>179</v>
      </c>
      <c r="Q12" s="152">
        <f t="shared" si="4"/>
        <v>7</v>
      </c>
      <c r="R12" s="152">
        <f t="shared" si="5"/>
        <v>53</v>
      </c>
      <c r="S12" s="79">
        <f t="shared" si="6"/>
        <v>25.285714285714285</v>
      </c>
    </row>
    <row r="13" spans="1:19" ht="12">
      <c r="A13" s="77" t="s">
        <v>31</v>
      </c>
      <c r="B13" s="123">
        <v>9</v>
      </c>
      <c r="C13" s="165">
        <v>223</v>
      </c>
      <c r="D13" s="175">
        <v>105</v>
      </c>
      <c r="E13" s="152">
        <v>3</v>
      </c>
      <c r="F13" s="152">
        <v>47</v>
      </c>
      <c r="G13" s="79">
        <f t="shared" si="0"/>
        <v>24.77777777777778</v>
      </c>
      <c r="H13" s="123"/>
      <c r="I13" s="174"/>
      <c r="J13" s="175"/>
      <c r="K13" s="153"/>
      <c r="L13" s="153"/>
      <c r="M13" s="166"/>
      <c r="N13" s="123">
        <f t="shared" si="1"/>
        <v>9</v>
      </c>
      <c r="O13" s="123">
        <f t="shared" si="2"/>
        <v>223</v>
      </c>
      <c r="P13" s="153">
        <f t="shared" si="3"/>
        <v>105</v>
      </c>
      <c r="Q13" s="152">
        <f t="shared" si="4"/>
        <v>3</v>
      </c>
      <c r="R13" s="152">
        <f t="shared" si="5"/>
        <v>47</v>
      </c>
      <c r="S13" s="79">
        <f t="shared" si="6"/>
        <v>24.77777777777778</v>
      </c>
    </row>
    <row r="14" spans="1:19" ht="12">
      <c r="A14" s="69" t="s">
        <v>11</v>
      </c>
      <c r="B14" s="75">
        <f>SUM(B15:B16)</f>
        <v>17</v>
      </c>
      <c r="C14" s="75">
        <f>SUM(C15:C16)</f>
        <v>405</v>
      </c>
      <c r="D14" s="80">
        <f>SUM(D15:D16)</f>
        <v>206</v>
      </c>
      <c r="E14" s="80">
        <f>SUM(E15:E16)</f>
        <v>9</v>
      </c>
      <c r="F14" s="80">
        <f>SUM(F15:F16)</f>
        <v>76</v>
      </c>
      <c r="G14" s="74">
        <f t="shared" si="0"/>
        <v>23.823529411764707</v>
      </c>
      <c r="H14" s="75">
        <f>SUM(H15:H16)</f>
        <v>3</v>
      </c>
      <c r="I14" s="75">
        <f>SUM(I15:I16)</f>
        <v>71</v>
      </c>
      <c r="J14" s="80">
        <f>SUM(J15:J16)</f>
        <v>32</v>
      </c>
      <c r="K14" s="80">
        <f>SUM(K15:K16)</f>
        <v>2</v>
      </c>
      <c r="L14" s="80">
        <f>SUM(L15:L16)</f>
        <v>20</v>
      </c>
      <c r="M14" s="166">
        <f>+I14/H14</f>
        <v>23.666666666666668</v>
      </c>
      <c r="N14" s="75">
        <f t="shared" si="1"/>
        <v>20</v>
      </c>
      <c r="O14" s="75">
        <f t="shared" si="2"/>
        <v>476</v>
      </c>
      <c r="P14" s="80">
        <f t="shared" si="3"/>
        <v>238</v>
      </c>
      <c r="Q14" s="76">
        <f t="shared" si="4"/>
        <v>11</v>
      </c>
      <c r="R14" s="76">
        <f t="shared" si="5"/>
        <v>96</v>
      </c>
      <c r="S14" s="74">
        <f t="shared" si="6"/>
        <v>23.8</v>
      </c>
    </row>
    <row r="15" spans="1:19" ht="12">
      <c r="A15" s="77" t="s">
        <v>32</v>
      </c>
      <c r="B15" s="123">
        <v>5</v>
      </c>
      <c r="C15" s="174">
        <v>123</v>
      </c>
      <c r="D15" s="176">
        <v>64</v>
      </c>
      <c r="E15" s="152">
        <v>2</v>
      </c>
      <c r="F15" s="152">
        <v>28</v>
      </c>
      <c r="G15" s="79">
        <f t="shared" si="0"/>
        <v>24.6</v>
      </c>
      <c r="H15" s="123">
        <v>3</v>
      </c>
      <c r="I15" s="165">
        <v>71</v>
      </c>
      <c r="J15" s="176">
        <v>32</v>
      </c>
      <c r="K15" s="153">
        <v>2</v>
      </c>
      <c r="L15" s="153">
        <v>20</v>
      </c>
      <c r="M15" s="162">
        <f>+I15/H15</f>
        <v>23.666666666666668</v>
      </c>
      <c r="N15" s="123">
        <f t="shared" si="1"/>
        <v>8</v>
      </c>
      <c r="O15" s="123">
        <f t="shared" si="2"/>
        <v>194</v>
      </c>
      <c r="P15" s="153">
        <f t="shared" si="3"/>
        <v>96</v>
      </c>
      <c r="Q15" s="152">
        <f t="shared" si="4"/>
        <v>4</v>
      </c>
      <c r="R15" s="152">
        <f t="shared" si="5"/>
        <v>48</v>
      </c>
      <c r="S15" s="79">
        <f t="shared" si="6"/>
        <v>24.25</v>
      </c>
    </row>
    <row r="16" spans="1:19" ht="12">
      <c r="A16" s="77" t="s">
        <v>33</v>
      </c>
      <c r="B16" s="123">
        <v>12</v>
      </c>
      <c r="C16" s="174">
        <v>282</v>
      </c>
      <c r="D16" s="176">
        <v>142</v>
      </c>
      <c r="E16" s="152">
        <v>7</v>
      </c>
      <c r="F16" s="152">
        <v>48</v>
      </c>
      <c r="G16" s="79">
        <f t="shared" si="0"/>
        <v>23.5</v>
      </c>
      <c r="H16" s="123"/>
      <c r="I16" s="165"/>
      <c r="J16" s="176"/>
      <c r="K16" s="153"/>
      <c r="L16" s="153"/>
      <c r="M16" s="166"/>
      <c r="N16" s="123">
        <f t="shared" si="1"/>
        <v>12</v>
      </c>
      <c r="O16" s="123">
        <f t="shared" si="2"/>
        <v>282</v>
      </c>
      <c r="P16" s="153">
        <f t="shared" si="3"/>
        <v>142</v>
      </c>
      <c r="Q16" s="152">
        <f t="shared" si="4"/>
        <v>7</v>
      </c>
      <c r="R16" s="152">
        <f t="shared" si="5"/>
        <v>48</v>
      </c>
      <c r="S16" s="79">
        <f t="shared" si="6"/>
        <v>23.5</v>
      </c>
    </row>
    <row r="17" spans="1:19" ht="12">
      <c r="A17" s="69" t="s">
        <v>12</v>
      </c>
      <c r="B17" s="75">
        <f>SUM(B18:B19)</f>
        <v>23</v>
      </c>
      <c r="C17" s="75">
        <f>SUM(C18:C19)</f>
        <v>566</v>
      </c>
      <c r="D17" s="80">
        <f>SUM(D18:D19)</f>
        <v>283</v>
      </c>
      <c r="E17" s="80">
        <f>SUM(E18:E19)</f>
        <v>10</v>
      </c>
      <c r="F17" s="80">
        <f>SUM(F18:F19)</f>
        <v>50</v>
      </c>
      <c r="G17" s="74">
        <f t="shared" si="0"/>
        <v>24.608695652173914</v>
      </c>
      <c r="H17" s="75">
        <f>SUM(H18:H19)</f>
        <v>2</v>
      </c>
      <c r="I17" s="75">
        <f>SUM(I18:I19)</f>
        <v>49</v>
      </c>
      <c r="J17" s="80">
        <f>SUM(J18:J19)</f>
        <v>24</v>
      </c>
      <c r="K17" s="80"/>
      <c r="L17" s="80">
        <f>SUM(L18:L19)</f>
        <v>16</v>
      </c>
      <c r="M17" s="166">
        <f>+I17/H17</f>
        <v>24.5</v>
      </c>
      <c r="N17" s="75">
        <f t="shared" si="1"/>
        <v>25</v>
      </c>
      <c r="O17" s="75">
        <f t="shared" si="2"/>
        <v>615</v>
      </c>
      <c r="P17" s="80">
        <f t="shared" si="3"/>
        <v>307</v>
      </c>
      <c r="Q17" s="76">
        <f t="shared" si="4"/>
        <v>10</v>
      </c>
      <c r="R17" s="76">
        <f t="shared" si="5"/>
        <v>66</v>
      </c>
      <c r="S17" s="74">
        <f t="shared" si="6"/>
        <v>24.6</v>
      </c>
    </row>
    <row r="18" spans="1:19" ht="12">
      <c r="A18" s="77" t="s">
        <v>34</v>
      </c>
      <c r="B18" s="123">
        <v>12</v>
      </c>
      <c r="C18" s="165">
        <v>296</v>
      </c>
      <c r="D18" s="175">
        <v>154</v>
      </c>
      <c r="E18" s="152">
        <v>6</v>
      </c>
      <c r="F18" s="152">
        <v>22</v>
      </c>
      <c r="G18" s="79">
        <f t="shared" si="0"/>
        <v>24.666666666666668</v>
      </c>
      <c r="H18" s="123">
        <v>2</v>
      </c>
      <c r="I18" s="165">
        <v>49</v>
      </c>
      <c r="J18" s="175">
        <v>24</v>
      </c>
      <c r="K18" s="153"/>
      <c r="L18" s="153">
        <v>16</v>
      </c>
      <c r="M18" s="162">
        <f>+I18/H18</f>
        <v>24.5</v>
      </c>
      <c r="N18" s="123">
        <f t="shared" si="1"/>
        <v>14</v>
      </c>
      <c r="O18" s="123">
        <f t="shared" si="2"/>
        <v>345</v>
      </c>
      <c r="P18" s="153">
        <f t="shared" si="3"/>
        <v>178</v>
      </c>
      <c r="Q18" s="152">
        <f t="shared" si="4"/>
        <v>6</v>
      </c>
      <c r="R18" s="152">
        <f t="shared" si="5"/>
        <v>38</v>
      </c>
      <c r="S18" s="79">
        <f t="shared" si="6"/>
        <v>24.642857142857142</v>
      </c>
    </row>
    <row r="19" spans="1:19" ht="12">
      <c r="A19" s="77" t="s">
        <v>35</v>
      </c>
      <c r="B19" s="123">
        <v>11</v>
      </c>
      <c r="C19" s="165">
        <v>270</v>
      </c>
      <c r="D19" s="175">
        <v>129</v>
      </c>
      <c r="E19" s="152">
        <v>4</v>
      </c>
      <c r="F19" s="152">
        <v>28</v>
      </c>
      <c r="G19" s="79">
        <f t="shared" si="0"/>
        <v>24.545454545454547</v>
      </c>
      <c r="H19" s="123"/>
      <c r="I19" s="165"/>
      <c r="J19" s="175"/>
      <c r="K19" s="153"/>
      <c r="L19" s="153"/>
      <c r="M19" s="166"/>
      <c r="N19" s="123">
        <f t="shared" si="1"/>
        <v>11</v>
      </c>
      <c r="O19" s="123">
        <f t="shared" si="2"/>
        <v>270</v>
      </c>
      <c r="P19" s="153">
        <f t="shared" si="3"/>
        <v>129</v>
      </c>
      <c r="Q19" s="152">
        <f t="shared" si="4"/>
        <v>4</v>
      </c>
      <c r="R19" s="152">
        <f t="shared" si="5"/>
        <v>28</v>
      </c>
      <c r="S19" s="79">
        <f t="shared" si="6"/>
        <v>24.545454545454547</v>
      </c>
    </row>
    <row r="20" spans="1:21" ht="12">
      <c r="A20" s="69" t="s">
        <v>36</v>
      </c>
      <c r="B20" s="75">
        <v>16</v>
      </c>
      <c r="C20" s="99">
        <v>379</v>
      </c>
      <c r="D20" s="76">
        <v>171</v>
      </c>
      <c r="E20" s="76">
        <v>7</v>
      </c>
      <c r="F20" s="76">
        <v>96</v>
      </c>
      <c r="G20" s="74">
        <f t="shared" si="0"/>
        <v>23.6875</v>
      </c>
      <c r="H20" s="167">
        <v>11</v>
      </c>
      <c r="I20" s="99">
        <v>245</v>
      </c>
      <c r="J20" s="76">
        <v>103</v>
      </c>
      <c r="K20" s="168">
        <v>2</v>
      </c>
      <c r="L20" s="168">
        <f>51+19</f>
        <v>70</v>
      </c>
      <c r="M20" s="166">
        <f>+I20/H20</f>
        <v>22.272727272727273</v>
      </c>
      <c r="N20" s="75">
        <f t="shared" si="1"/>
        <v>27</v>
      </c>
      <c r="O20" s="75">
        <f t="shared" si="2"/>
        <v>624</v>
      </c>
      <c r="P20" s="80">
        <f t="shared" si="3"/>
        <v>274</v>
      </c>
      <c r="Q20" s="76">
        <f t="shared" si="4"/>
        <v>9</v>
      </c>
      <c r="R20" s="76">
        <f t="shared" si="5"/>
        <v>166</v>
      </c>
      <c r="S20" s="74">
        <f t="shared" si="6"/>
        <v>23.11111111111111</v>
      </c>
      <c r="U20" s="22"/>
    </row>
    <row r="21" spans="1:19" ht="12">
      <c r="A21" s="69" t="s">
        <v>37</v>
      </c>
      <c r="B21" s="81">
        <f>SUM(B22:B24)</f>
        <v>30</v>
      </c>
      <c r="C21" s="81">
        <f>SUM(C22:C24)</f>
        <v>723</v>
      </c>
      <c r="D21" s="82">
        <f>SUM(D22:D24)</f>
        <v>354</v>
      </c>
      <c r="E21" s="82">
        <f>SUM(E22:E24)</f>
        <v>16</v>
      </c>
      <c r="F21" s="82">
        <f>SUM(F22:F24)</f>
        <v>62</v>
      </c>
      <c r="G21" s="74">
        <f t="shared" si="0"/>
        <v>24.1</v>
      </c>
      <c r="H21" s="75">
        <f>SUM(H22:H24)</f>
        <v>5</v>
      </c>
      <c r="I21" s="75">
        <f>SUM(I22:I24)</f>
        <v>118</v>
      </c>
      <c r="J21" s="82">
        <f>SUM(J22:J24)</f>
        <v>58</v>
      </c>
      <c r="K21" s="75"/>
      <c r="L21" s="80">
        <f>SUM(L22:L24)</f>
        <v>28</v>
      </c>
      <c r="M21" s="166">
        <f>+I21/H21</f>
        <v>23.6</v>
      </c>
      <c r="N21" s="75">
        <f t="shared" si="1"/>
        <v>35</v>
      </c>
      <c r="O21" s="75">
        <f t="shared" si="2"/>
        <v>841</v>
      </c>
      <c r="P21" s="80">
        <f t="shared" si="3"/>
        <v>412</v>
      </c>
      <c r="Q21" s="76">
        <f t="shared" si="4"/>
        <v>16</v>
      </c>
      <c r="R21" s="76">
        <f t="shared" si="5"/>
        <v>90</v>
      </c>
      <c r="S21" s="74">
        <f t="shared" si="6"/>
        <v>24.02857142857143</v>
      </c>
    </row>
    <row r="22" spans="1:21" ht="12">
      <c r="A22" s="77" t="s">
        <v>38</v>
      </c>
      <c r="B22" s="146">
        <v>7</v>
      </c>
      <c r="C22" s="165">
        <v>163</v>
      </c>
      <c r="D22" s="175">
        <v>70</v>
      </c>
      <c r="E22" s="152">
        <v>5</v>
      </c>
      <c r="F22" s="152">
        <v>11</v>
      </c>
      <c r="G22" s="79">
        <f t="shared" si="0"/>
        <v>23.285714285714285</v>
      </c>
      <c r="H22" s="123"/>
      <c r="I22" s="165"/>
      <c r="J22" s="175"/>
      <c r="K22" s="153"/>
      <c r="L22" s="153"/>
      <c r="M22" s="166"/>
      <c r="N22" s="123">
        <f t="shared" si="1"/>
        <v>7</v>
      </c>
      <c r="O22" s="123">
        <f t="shared" si="2"/>
        <v>163</v>
      </c>
      <c r="P22" s="153">
        <f t="shared" si="3"/>
        <v>70</v>
      </c>
      <c r="Q22" s="152">
        <f t="shared" si="4"/>
        <v>5</v>
      </c>
      <c r="R22" s="152">
        <f t="shared" si="5"/>
        <v>11</v>
      </c>
      <c r="S22" s="79">
        <f t="shared" si="6"/>
        <v>23.285714285714285</v>
      </c>
      <c r="U22" s="22"/>
    </row>
    <row r="23" spans="1:19" ht="12">
      <c r="A23" s="77" t="s">
        <v>39</v>
      </c>
      <c r="B23" s="146">
        <v>8</v>
      </c>
      <c r="C23" s="165">
        <v>195</v>
      </c>
      <c r="D23" s="175">
        <v>103</v>
      </c>
      <c r="E23" s="152">
        <v>4</v>
      </c>
      <c r="F23" s="152">
        <v>19</v>
      </c>
      <c r="G23" s="79">
        <f t="shared" si="0"/>
        <v>24.375</v>
      </c>
      <c r="H23" s="123"/>
      <c r="I23" s="165"/>
      <c r="J23" s="175"/>
      <c r="K23" s="153"/>
      <c r="L23" s="153"/>
      <c r="M23" s="166"/>
      <c r="N23" s="123">
        <f t="shared" si="1"/>
        <v>8</v>
      </c>
      <c r="O23" s="123">
        <f t="shared" si="2"/>
        <v>195</v>
      </c>
      <c r="P23" s="153">
        <f t="shared" si="3"/>
        <v>103</v>
      </c>
      <c r="Q23" s="152">
        <f t="shared" si="4"/>
        <v>4</v>
      </c>
      <c r="R23" s="152">
        <f t="shared" si="5"/>
        <v>19</v>
      </c>
      <c r="S23" s="79">
        <f t="shared" si="6"/>
        <v>24.375</v>
      </c>
    </row>
    <row r="24" spans="1:19" ht="12">
      <c r="A24" s="77" t="s">
        <v>40</v>
      </c>
      <c r="B24" s="146">
        <v>15</v>
      </c>
      <c r="C24" s="165">
        <v>365</v>
      </c>
      <c r="D24" s="175">
        <v>181</v>
      </c>
      <c r="E24" s="152">
        <v>7</v>
      </c>
      <c r="F24" s="152">
        <v>32</v>
      </c>
      <c r="G24" s="79">
        <f t="shared" si="0"/>
        <v>24.333333333333332</v>
      </c>
      <c r="H24" s="123">
        <v>5</v>
      </c>
      <c r="I24" s="165">
        <v>118</v>
      </c>
      <c r="J24" s="175">
        <v>58</v>
      </c>
      <c r="K24" s="153"/>
      <c r="L24" s="153">
        <v>28</v>
      </c>
      <c r="M24" s="162">
        <f>+I24/H24</f>
        <v>23.6</v>
      </c>
      <c r="N24" s="123">
        <f t="shared" si="1"/>
        <v>20</v>
      </c>
      <c r="O24" s="123">
        <f t="shared" si="2"/>
        <v>483</v>
      </c>
      <c r="P24" s="153">
        <f t="shared" si="3"/>
        <v>239</v>
      </c>
      <c r="Q24" s="152">
        <f t="shared" si="4"/>
        <v>7</v>
      </c>
      <c r="R24" s="152">
        <f t="shared" si="5"/>
        <v>60</v>
      </c>
      <c r="S24" s="79">
        <f t="shared" si="6"/>
        <v>24.15</v>
      </c>
    </row>
    <row r="25" spans="1:19" ht="12">
      <c r="A25" s="69" t="s">
        <v>41</v>
      </c>
      <c r="B25" s="75">
        <f>SUM(B26:B27)</f>
        <v>18</v>
      </c>
      <c r="C25" s="75">
        <f>SUM(C26:C27)</f>
        <v>451</v>
      </c>
      <c r="D25" s="80">
        <f>SUM(D26:D27)</f>
        <v>227</v>
      </c>
      <c r="E25" s="80">
        <f>SUM(E26:E27)</f>
        <v>15</v>
      </c>
      <c r="F25" s="80">
        <f>SUM(F26:F27)</f>
        <v>69</v>
      </c>
      <c r="G25" s="74">
        <f t="shared" si="0"/>
        <v>25.055555555555557</v>
      </c>
      <c r="H25" s="75">
        <f>SUM(H26:H27)</f>
        <v>12</v>
      </c>
      <c r="I25" s="75">
        <f>SUM(I26:I27)</f>
        <v>256</v>
      </c>
      <c r="J25" s="80">
        <f>SUM(J26:J27)</f>
        <v>125</v>
      </c>
      <c r="K25" s="80">
        <f>SUM(K26:K27)</f>
        <v>4</v>
      </c>
      <c r="L25" s="80">
        <f>SUM(L26:L27)</f>
        <v>68</v>
      </c>
      <c r="M25" s="166">
        <f>+I25/H25</f>
        <v>21.333333333333332</v>
      </c>
      <c r="N25" s="75">
        <f t="shared" si="1"/>
        <v>30</v>
      </c>
      <c r="O25" s="75">
        <f t="shared" si="2"/>
        <v>707</v>
      </c>
      <c r="P25" s="80">
        <f t="shared" si="3"/>
        <v>352</v>
      </c>
      <c r="Q25" s="76">
        <f t="shared" si="4"/>
        <v>19</v>
      </c>
      <c r="R25" s="76">
        <f t="shared" si="5"/>
        <v>137</v>
      </c>
      <c r="S25" s="74">
        <f t="shared" si="6"/>
        <v>23.566666666666666</v>
      </c>
    </row>
    <row r="26" spans="1:19" ht="12">
      <c r="A26" s="77" t="s">
        <v>42</v>
      </c>
      <c r="B26" s="123">
        <v>8</v>
      </c>
      <c r="C26" s="165">
        <v>203</v>
      </c>
      <c r="D26" s="175">
        <v>98</v>
      </c>
      <c r="E26" s="152">
        <v>5</v>
      </c>
      <c r="F26" s="152">
        <v>50</v>
      </c>
      <c r="G26" s="79">
        <f t="shared" si="0"/>
        <v>25.375</v>
      </c>
      <c r="H26" s="123"/>
      <c r="I26" s="165"/>
      <c r="J26" s="175"/>
      <c r="K26" s="153"/>
      <c r="L26" s="153"/>
      <c r="M26" s="166"/>
      <c r="N26" s="123">
        <f t="shared" si="1"/>
        <v>8</v>
      </c>
      <c r="O26" s="123">
        <f t="shared" si="2"/>
        <v>203</v>
      </c>
      <c r="P26" s="153">
        <f t="shared" si="3"/>
        <v>98</v>
      </c>
      <c r="Q26" s="152">
        <f t="shared" si="4"/>
        <v>5</v>
      </c>
      <c r="R26" s="152">
        <f t="shared" si="5"/>
        <v>50</v>
      </c>
      <c r="S26" s="79">
        <f t="shared" si="6"/>
        <v>25.375</v>
      </c>
    </row>
    <row r="27" spans="1:19" ht="12">
      <c r="A27" s="77" t="s">
        <v>43</v>
      </c>
      <c r="B27" s="123">
        <v>10</v>
      </c>
      <c r="C27" s="165">
        <v>248</v>
      </c>
      <c r="D27" s="175">
        <v>129</v>
      </c>
      <c r="E27" s="152">
        <v>10</v>
      </c>
      <c r="F27" s="152">
        <v>19</v>
      </c>
      <c r="G27" s="79">
        <f t="shared" si="0"/>
        <v>24.8</v>
      </c>
      <c r="H27" s="123">
        <v>12</v>
      </c>
      <c r="I27" s="165">
        <f>60+69+70+57</f>
        <v>256</v>
      </c>
      <c r="J27" s="175">
        <v>125</v>
      </c>
      <c r="K27" s="153">
        <v>4</v>
      </c>
      <c r="L27" s="153">
        <v>68</v>
      </c>
      <c r="M27" s="162">
        <f>+I27/H27</f>
        <v>21.333333333333332</v>
      </c>
      <c r="N27" s="123">
        <f t="shared" si="1"/>
        <v>22</v>
      </c>
      <c r="O27" s="123">
        <f t="shared" si="2"/>
        <v>504</v>
      </c>
      <c r="P27" s="153">
        <f t="shared" si="3"/>
        <v>254</v>
      </c>
      <c r="Q27" s="152">
        <f t="shared" si="4"/>
        <v>14</v>
      </c>
      <c r="R27" s="152">
        <f t="shared" si="5"/>
        <v>87</v>
      </c>
      <c r="S27" s="79">
        <f t="shared" si="6"/>
        <v>22.90909090909091</v>
      </c>
    </row>
    <row r="28" spans="1:19" ht="12">
      <c r="A28" s="69" t="s">
        <v>16</v>
      </c>
      <c r="B28" s="75">
        <f>SUM(B29:B30)</f>
        <v>22</v>
      </c>
      <c r="C28" s="75">
        <f>SUM(C29:C30)</f>
        <v>524</v>
      </c>
      <c r="D28" s="80">
        <f>SUM(D29:D30)</f>
        <v>237</v>
      </c>
      <c r="E28" s="80">
        <f>SUM(E29:E30)</f>
        <v>11</v>
      </c>
      <c r="F28" s="80">
        <f>SUM(F29:F30)</f>
        <v>63</v>
      </c>
      <c r="G28" s="74">
        <f t="shared" si="0"/>
        <v>23.818181818181817</v>
      </c>
      <c r="H28" s="75">
        <f>SUM(H29:H30)</f>
        <v>2</v>
      </c>
      <c r="I28" s="75">
        <f>SUM(I29:I30)</f>
        <v>41</v>
      </c>
      <c r="J28" s="80">
        <f>SUM(J29:J30)</f>
        <v>19</v>
      </c>
      <c r="K28" s="75"/>
      <c r="L28" s="80">
        <f>SUM(L29:L30)</f>
        <v>17</v>
      </c>
      <c r="M28" s="166">
        <f>+I28/H28</f>
        <v>20.5</v>
      </c>
      <c r="N28" s="75">
        <f t="shared" si="1"/>
        <v>24</v>
      </c>
      <c r="O28" s="75">
        <f t="shared" si="2"/>
        <v>565</v>
      </c>
      <c r="P28" s="80">
        <f t="shared" si="3"/>
        <v>256</v>
      </c>
      <c r="Q28" s="76">
        <f t="shared" si="4"/>
        <v>11</v>
      </c>
      <c r="R28" s="76">
        <f t="shared" si="5"/>
        <v>80</v>
      </c>
      <c r="S28" s="74">
        <f t="shared" si="6"/>
        <v>23.541666666666668</v>
      </c>
    </row>
    <row r="29" spans="1:19" ht="12">
      <c r="A29" s="77" t="s">
        <v>44</v>
      </c>
      <c r="B29" s="123">
        <v>18</v>
      </c>
      <c r="C29" s="165">
        <v>440</v>
      </c>
      <c r="D29" s="175">
        <v>205</v>
      </c>
      <c r="E29" s="152">
        <v>10</v>
      </c>
      <c r="F29" s="152">
        <v>42</v>
      </c>
      <c r="G29" s="79">
        <f t="shared" si="0"/>
        <v>24.444444444444443</v>
      </c>
      <c r="H29" s="123"/>
      <c r="I29" s="165"/>
      <c r="J29" s="175"/>
      <c r="K29" s="153"/>
      <c r="L29" s="153"/>
      <c r="M29" s="166"/>
      <c r="N29" s="123">
        <f t="shared" si="1"/>
        <v>18</v>
      </c>
      <c r="O29" s="123">
        <f t="shared" si="2"/>
        <v>440</v>
      </c>
      <c r="P29" s="153">
        <f t="shared" si="3"/>
        <v>205</v>
      </c>
      <c r="Q29" s="152">
        <f t="shared" si="4"/>
        <v>10</v>
      </c>
      <c r="R29" s="152">
        <f t="shared" si="5"/>
        <v>42</v>
      </c>
      <c r="S29" s="79">
        <f t="shared" si="6"/>
        <v>24.444444444444443</v>
      </c>
    </row>
    <row r="30" spans="1:19" ht="12">
      <c r="A30" s="77" t="s">
        <v>45</v>
      </c>
      <c r="B30" s="123">
        <v>4</v>
      </c>
      <c r="C30" s="165">
        <v>84</v>
      </c>
      <c r="D30" s="175">
        <v>32</v>
      </c>
      <c r="E30" s="152">
        <v>1</v>
      </c>
      <c r="F30" s="152">
        <v>21</v>
      </c>
      <c r="G30" s="79">
        <f t="shared" si="0"/>
        <v>21</v>
      </c>
      <c r="H30" s="123">
        <v>2</v>
      </c>
      <c r="I30" s="165">
        <v>41</v>
      </c>
      <c r="J30" s="175">
        <v>19</v>
      </c>
      <c r="K30" s="153"/>
      <c r="L30" s="153">
        <v>17</v>
      </c>
      <c r="M30" s="162">
        <f>+I30/H30</f>
        <v>20.5</v>
      </c>
      <c r="N30" s="123">
        <f t="shared" si="1"/>
        <v>6</v>
      </c>
      <c r="O30" s="123">
        <f t="shared" si="2"/>
        <v>125</v>
      </c>
      <c r="P30" s="153">
        <f t="shared" si="3"/>
        <v>51</v>
      </c>
      <c r="Q30" s="152">
        <f t="shared" si="4"/>
        <v>1</v>
      </c>
      <c r="R30" s="152">
        <f t="shared" si="5"/>
        <v>38</v>
      </c>
      <c r="S30" s="79">
        <f t="shared" si="6"/>
        <v>20.833333333333332</v>
      </c>
    </row>
    <row r="31" spans="1:19" ht="12">
      <c r="A31" s="69" t="s">
        <v>17</v>
      </c>
      <c r="B31" s="75">
        <f>SUM(B32:B33)</f>
        <v>22</v>
      </c>
      <c r="C31" s="75">
        <f>SUM(C32:C33)</f>
        <v>561</v>
      </c>
      <c r="D31" s="80">
        <f>SUM(D32:D33)</f>
        <v>272</v>
      </c>
      <c r="E31" s="80">
        <f>SUM(E32:E33)</f>
        <v>14</v>
      </c>
      <c r="F31" s="80">
        <f>SUM(F32:F33)</f>
        <v>64</v>
      </c>
      <c r="G31" s="74">
        <f t="shared" si="0"/>
        <v>25.5</v>
      </c>
      <c r="H31" s="75">
        <f>SUM(H32:H33)</f>
        <v>14</v>
      </c>
      <c r="I31" s="75">
        <f>SUM(I32:I33)</f>
        <v>335</v>
      </c>
      <c r="J31" s="80">
        <f>SUM(J32:J33)</f>
        <v>149</v>
      </c>
      <c r="K31" s="80">
        <f>SUM(K32:K33)</f>
        <v>3</v>
      </c>
      <c r="L31" s="80">
        <f>SUM(L32:L33)</f>
        <v>47</v>
      </c>
      <c r="M31" s="166">
        <f>+I31/H31</f>
        <v>23.928571428571427</v>
      </c>
      <c r="N31" s="75">
        <f t="shared" si="1"/>
        <v>36</v>
      </c>
      <c r="O31" s="75">
        <f t="shared" si="2"/>
        <v>896</v>
      </c>
      <c r="P31" s="80">
        <f t="shared" si="3"/>
        <v>421</v>
      </c>
      <c r="Q31" s="76">
        <f t="shared" si="4"/>
        <v>17</v>
      </c>
      <c r="R31" s="76">
        <f t="shared" si="5"/>
        <v>111</v>
      </c>
      <c r="S31" s="74">
        <f t="shared" si="6"/>
        <v>24.88888888888889</v>
      </c>
    </row>
    <row r="32" spans="1:19" ht="12">
      <c r="A32" s="86" t="s">
        <v>46</v>
      </c>
      <c r="B32" s="123">
        <v>13</v>
      </c>
      <c r="C32" s="165">
        <v>325</v>
      </c>
      <c r="D32" s="175">
        <v>153</v>
      </c>
      <c r="E32" s="152">
        <v>9</v>
      </c>
      <c r="F32" s="152">
        <v>36</v>
      </c>
      <c r="G32" s="79">
        <f t="shared" si="0"/>
        <v>25</v>
      </c>
      <c r="H32" s="123">
        <v>11</v>
      </c>
      <c r="I32" s="165">
        <v>261</v>
      </c>
      <c r="J32" s="175">
        <v>119</v>
      </c>
      <c r="K32" s="153">
        <v>3</v>
      </c>
      <c r="L32" s="153">
        <v>33</v>
      </c>
      <c r="M32" s="162">
        <f>+I32/H32</f>
        <v>23.727272727272727</v>
      </c>
      <c r="N32" s="123">
        <f t="shared" si="1"/>
        <v>24</v>
      </c>
      <c r="O32" s="123">
        <f t="shared" si="2"/>
        <v>586</v>
      </c>
      <c r="P32" s="153">
        <f t="shared" si="3"/>
        <v>272</v>
      </c>
      <c r="Q32" s="152">
        <f t="shared" si="4"/>
        <v>12</v>
      </c>
      <c r="R32" s="152">
        <f t="shared" si="5"/>
        <v>69</v>
      </c>
      <c r="S32" s="79">
        <f t="shared" si="6"/>
        <v>24.416666666666668</v>
      </c>
    </row>
    <row r="33" spans="1:19" ht="12">
      <c r="A33" s="86" t="s">
        <v>47</v>
      </c>
      <c r="B33" s="155">
        <v>9</v>
      </c>
      <c r="C33" s="165">
        <v>236</v>
      </c>
      <c r="D33" s="175">
        <v>119</v>
      </c>
      <c r="E33" s="169">
        <v>5</v>
      </c>
      <c r="F33" s="169">
        <v>28</v>
      </c>
      <c r="G33" s="87">
        <f t="shared" si="0"/>
        <v>26.22222222222222</v>
      </c>
      <c r="H33" s="155">
        <v>3</v>
      </c>
      <c r="I33" s="165">
        <v>74</v>
      </c>
      <c r="J33" s="175">
        <v>30</v>
      </c>
      <c r="K33" s="156"/>
      <c r="L33" s="156">
        <v>14</v>
      </c>
      <c r="M33" s="170">
        <f>+I33/H33</f>
        <v>24.666666666666668</v>
      </c>
      <c r="N33" s="155">
        <f t="shared" si="1"/>
        <v>12</v>
      </c>
      <c r="O33" s="155">
        <f t="shared" si="2"/>
        <v>310</v>
      </c>
      <c r="P33" s="153">
        <f t="shared" si="3"/>
        <v>149</v>
      </c>
      <c r="Q33" s="169">
        <f t="shared" si="4"/>
        <v>5</v>
      </c>
      <c r="R33" s="169">
        <f t="shared" si="5"/>
        <v>42</v>
      </c>
      <c r="S33" s="87">
        <f t="shared" si="6"/>
        <v>25.833333333333332</v>
      </c>
    </row>
    <row r="34" spans="1:19" ht="12">
      <c r="A34" s="89" t="s">
        <v>48</v>
      </c>
      <c r="B34" s="90">
        <f>+B9+B10+B14+B17+B20+B21+B25+B28+B31</f>
        <v>204</v>
      </c>
      <c r="C34" s="91">
        <f>+C9+C10+C14+C17+C20+C21+C25+C28+C31</f>
        <v>4990</v>
      </c>
      <c r="D34" s="92">
        <f>+D9+D10+D14+D17+D20+D21+D25+D28+D31</f>
        <v>2400</v>
      </c>
      <c r="E34" s="93">
        <f>+E9+E10+E14+E17+E20+E21+E25+E28+E31</f>
        <v>118</v>
      </c>
      <c r="F34" s="93">
        <f>+F9+F10+F14+F17+F20+F21+F25+F28+F31</f>
        <v>762</v>
      </c>
      <c r="G34" s="94">
        <f t="shared" si="0"/>
        <v>24.46078431372549</v>
      </c>
      <c r="H34" s="90">
        <f>+H9+H10+H14+H17+H20+H21+H25+H28+H31</f>
        <v>58</v>
      </c>
      <c r="I34" s="91">
        <f>+I10+I14+I17+I20+I21+I25+I28+I31</f>
        <v>1332</v>
      </c>
      <c r="J34" s="92">
        <f>+J10+J14+J17+J20+J21+J25+J28+J31</f>
        <v>603</v>
      </c>
      <c r="K34" s="95">
        <f>+K10+K14+K17+K20+K21+K25+K28+K31</f>
        <v>16</v>
      </c>
      <c r="L34" s="95">
        <f>+L10+L14+L17+L20+L21+L25+L28+L31</f>
        <v>325</v>
      </c>
      <c r="M34" s="96">
        <f>+I34/H34</f>
        <v>22.96551724137931</v>
      </c>
      <c r="N34" s="171">
        <f t="shared" si="1"/>
        <v>262</v>
      </c>
      <c r="O34" s="171">
        <f t="shared" si="2"/>
        <v>6322</v>
      </c>
      <c r="P34" s="93">
        <f t="shared" si="3"/>
        <v>3003</v>
      </c>
      <c r="Q34" s="93">
        <f t="shared" si="4"/>
        <v>134</v>
      </c>
      <c r="R34" s="93">
        <f t="shared" si="5"/>
        <v>1087</v>
      </c>
      <c r="S34" s="94">
        <f t="shared" si="6"/>
        <v>24.129770992366414</v>
      </c>
    </row>
    <row r="35" spans="1:19" ht="12">
      <c r="A35" s="97" t="s">
        <v>61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0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14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173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7">
    <mergeCell ref="C5:G5"/>
    <mergeCell ref="I5:M5"/>
    <mergeCell ref="O5:S5"/>
    <mergeCell ref="B3:S3"/>
    <mergeCell ref="B4:G4"/>
    <mergeCell ref="H4:M4"/>
    <mergeCell ref="N4:S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&amp;R400042.xls</oddHeader>
    <oddFooter>&amp;LComune di Bologna - Dipartimento Programmazione</oddFooter>
  </headerFooter>
  <ignoredErrors>
    <ignoredError sqref="D8:S8 N1" numberStoredAsText="1"/>
    <ignoredError sqref="B10:F16 G10:S13 G9:S9 K17:S34 H14:S16" unlockedFormula="1"/>
    <ignoredError sqref="H17:J34 B17:F34 G14:G16 G17:G34" formulaRange="1" unlockedFormula="1"/>
    <ignoredError sqref="G14:G16" formula="1" unlockedFormula="1"/>
    <ignoredError sqref="G17:G34" formula="1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5" width="8.125" style="21" customWidth="1"/>
    <col min="6" max="6" width="7.00390625" style="21" customWidth="1"/>
    <col min="7" max="7" width="6.25390625" style="21" customWidth="1"/>
    <col min="8" max="8" width="8.25390625" style="21" customWidth="1"/>
    <col min="9" max="10" width="8.125" style="21" customWidth="1"/>
    <col min="11" max="11" width="6.875" style="21" customWidth="1"/>
    <col min="12" max="12" width="6.25390625" style="21" customWidth="1"/>
    <col min="13" max="15" width="8.125" style="21" customWidth="1"/>
    <col min="16" max="16" width="7.125" style="21" customWidth="1"/>
    <col min="17" max="17" width="1.875" style="21" customWidth="1"/>
    <col min="18" max="18" width="6.75390625" style="21" customWidth="1"/>
    <col min="19" max="19" width="7.00390625" style="21" customWidth="1"/>
    <col min="20" max="20" width="11.125" style="21" hidden="1" customWidth="1"/>
    <col min="21" max="21" width="9.25390625" style="21" customWidth="1"/>
    <col min="22" max="22" width="8.875" style="21" customWidth="1"/>
    <col min="23" max="23" width="1.25" style="21" customWidth="1"/>
    <col min="24" max="24" width="6.75390625" style="21" customWidth="1"/>
    <col min="25" max="25" width="6.875" style="21" customWidth="1"/>
    <col min="26" max="26" width="8.875" style="21" customWidth="1"/>
    <col min="27" max="27" width="1.25" style="21" customWidth="1"/>
    <col min="28" max="28" width="6.75390625" style="21" customWidth="1"/>
    <col min="29" max="29" width="6.875" style="21" customWidth="1"/>
    <col min="30" max="30" width="8.875" style="21" customWidth="1"/>
    <col min="31" max="16384" width="10.625" style="21" customWidth="1"/>
  </cols>
  <sheetData>
    <row r="1" spans="1:27" s="13" customFormat="1" ht="15" customHeight="1">
      <c r="A1" s="49" t="s">
        <v>63</v>
      </c>
      <c r="B1" s="49"/>
      <c r="C1" s="49"/>
      <c r="D1" s="49"/>
      <c r="E1" s="49"/>
      <c r="F1" s="49"/>
      <c r="G1" s="49"/>
      <c r="H1" s="49"/>
      <c r="I1" s="50"/>
      <c r="J1" s="50"/>
      <c r="K1" s="50"/>
      <c r="L1" s="51" t="s">
        <v>25</v>
      </c>
      <c r="M1" s="49"/>
      <c r="N1" s="49"/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</row>
    <row r="2" spans="1:27" s="13" customFormat="1" ht="15" customHeight="1">
      <c r="A2" s="52" t="s">
        <v>67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1"/>
      <c r="M2" s="49"/>
      <c r="N2" s="49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</row>
    <row r="3" spans="1:27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111"/>
      <c r="R3" s="111"/>
      <c r="S3" s="111"/>
      <c r="T3" s="23"/>
      <c r="U3" s="23"/>
      <c r="V3" s="23"/>
      <c r="W3" s="23"/>
      <c r="X3" s="23"/>
      <c r="Y3" s="23"/>
      <c r="Z3" s="23"/>
      <c r="AA3" s="23"/>
    </row>
    <row r="4" spans="1:27" ht="12">
      <c r="A4" s="54"/>
      <c r="B4" s="203" t="s">
        <v>2</v>
      </c>
      <c r="C4" s="203"/>
      <c r="D4" s="203"/>
      <c r="E4" s="203"/>
      <c r="F4" s="203"/>
      <c r="G4" s="203" t="s">
        <v>3</v>
      </c>
      <c r="H4" s="203"/>
      <c r="I4" s="203"/>
      <c r="J4" s="203"/>
      <c r="K4" s="203"/>
      <c r="L4" s="203" t="s">
        <v>20</v>
      </c>
      <c r="M4" s="203"/>
      <c r="N4" s="203"/>
      <c r="O4" s="203"/>
      <c r="P4" s="203"/>
      <c r="Q4" s="148"/>
      <c r="R4" s="148"/>
      <c r="S4" s="148"/>
      <c r="T4" s="24"/>
      <c r="U4" s="24"/>
      <c r="V4" s="24"/>
      <c r="W4" s="24"/>
      <c r="X4" s="23"/>
      <c r="Y4" s="23"/>
      <c r="Z4" s="23"/>
      <c r="AA4" s="24"/>
    </row>
    <row r="5" spans="1:26" ht="12">
      <c r="A5" s="56"/>
      <c r="B5" s="57" t="s">
        <v>4</v>
      </c>
      <c r="C5" s="202" t="s">
        <v>5</v>
      </c>
      <c r="D5" s="202"/>
      <c r="E5" s="202"/>
      <c r="F5" s="202"/>
      <c r="G5" s="57" t="s">
        <v>4</v>
      </c>
      <c r="H5" s="204" t="s">
        <v>5</v>
      </c>
      <c r="I5" s="204"/>
      <c r="J5" s="204"/>
      <c r="K5" s="204"/>
      <c r="L5" s="57" t="s">
        <v>4</v>
      </c>
      <c r="M5" s="204" t="s">
        <v>5</v>
      </c>
      <c r="N5" s="204"/>
      <c r="O5" s="204"/>
      <c r="P5" s="204"/>
      <c r="Q5" s="144"/>
      <c r="R5" s="144"/>
      <c r="S5" s="144"/>
      <c r="X5" s="24"/>
      <c r="Y5" s="24"/>
      <c r="Z5" s="24"/>
    </row>
    <row r="6" spans="1:19" ht="12">
      <c r="A6" s="56"/>
      <c r="B6" s="58"/>
      <c r="C6" s="58" t="s">
        <v>6</v>
      </c>
      <c r="D6" s="59" t="s">
        <v>53</v>
      </c>
      <c r="E6" s="59" t="s">
        <v>19</v>
      </c>
      <c r="F6" s="60" t="s">
        <v>52</v>
      </c>
      <c r="G6" s="58"/>
      <c r="H6" s="61" t="s">
        <v>21</v>
      </c>
      <c r="I6" s="59" t="s">
        <v>19</v>
      </c>
      <c r="J6" s="59" t="s">
        <v>19</v>
      </c>
      <c r="K6" s="60" t="s">
        <v>52</v>
      </c>
      <c r="L6" s="58"/>
      <c r="M6" s="61" t="s">
        <v>21</v>
      </c>
      <c r="N6" s="59" t="s">
        <v>19</v>
      </c>
      <c r="O6" s="59" t="s">
        <v>19</v>
      </c>
      <c r="P6" s="60" t="s">
        <v>52</v>
      </c>
      <c r="Q6" s="144"/>
      <c r="R6" s="144"/>
      <c r="S6" s="144"/>
    </row>
    <row r="7" spans="1:19" ht="12">
      <c r="A7" s="56"/>
      <c r="B7" s="58"/>
      <c r="C7" s="58"/>
      <c r="D7" s="59" t="s">
        <v>27</v>
      </c>
      <c r="E7" s="59" t="s">
        <v>23</v>
      </c>
      <c r="F7" s="62" t="s">
        <v>51</v>
      </c>
      <c r="G7" s="58"/>
      <c r="H7" s="57"/>
      <c r="I7" s="59" t="s">
        <v>27</v>
      </c>
      <c r="J7" s="59" t="s">
        <v>23</v>
      </c>
      <c r="K7" s="62" t="s">
        <v>51</v>
      </c>
      <c r="L7" s="58"/>
      <c r="M7" s="57"/>
      <c r="N7" s="59" t="s">
        <v>27</v>
      </c>
      <c r="O7" s="59" t="s">
        <v>23</v>
      </c>
      <c r="P7" s="62" t="s">
        <v>51</v>
      </c>
      <c r="Q7" s="144"/>
      <c r="R7" s="144"/>
      <c r="S7" s="144"/>
    </row>
    <row r="8" spans="1:19" ht="12">
      <c r="A8" s="63"/>
      <c r="B8" s="64"/>
      <c r="C8" s="64"/>
      <c r="D8" s="66" t="s">
        <v>28</v>
      </c>
      <c r="E8" s="65" t="s">
        <v>49</v>
      </c>
      <c r="F8" s="67" t="s">
        <v>24</v>
      </c>
      <c r="G8" s="64"/>
      <c r="H8" s="68"/>
      <c r="I8" s="66" t="s">
        <v>28</v>
      </c>
      <c r="J8" s="65" t="s">
        <v>49</v>
      </c>
      <c r="K8" s="67" t="s">
        <v>24</v>
      </c>
      <c r="L8" s="64"/>
      <c r="M8" s="68"/>
      <c r="N8" s="66" t="s">
        <v>28</v>
      </c>
      <c r="O8" s="65" t="s">
        <v>49</v>
      </c>
      <c r="P8" s="67" t="s">
        <v>24</v>
      </c>
      <c r="Q8" s="144"/>
      <c r="R8" s="144"/>
      <c r="S8" s="144"/>
    </row>
    <row r="9" spans="1:19" ht="12">
      <c r="A9" s="69" t="s">
        <v>9</v>
      </c>
      <c r="B9" s="75">
        <v>18</v>
      </c>
      <c r="C9" s="99">
        <f>75+72+74+75+100+50</f>
        <v>446</v>
      </c>
      <c r="D9" s="164">
        <v>14</v>
      </c>
      <c r="E9" s="164">
        <v>57</v>
      </c>
      <c r="F9" s="74">
        <f>+C9/B9</f>
        <v>24.77777777777778</v>
      </c>
      <c r="G9" s="75"/>
      <c r="H9" s="165"/>
      <c r="I9" s="80"/>
      <c r="J9" s="80"/>
      <c r="K9" s="166"/>
      <c r="L9" s="75">
        <f aca="true" t="shared" si="0" ref="L9:L29">+B9+G9</f>
        <v>18</v>
      </c>
      <c r="M9" s="75">
        <f aca="true" t="shared" si="1" ref="M9:M29">+C9+H9</f>
        <v>446</v>
      </c>
      <c r="N9" s="164">
        <f aca="true" t="shared" si="2" ref="N9:N29">+D9+I9</f>
        <v>14</v>
      </c>
      <c r="O9" s="164">
        <f aca="true" t="shared" si="3" ref="O9:O29">+E9+J9</f>
        <v>57</v>
      </c>
      <c r="P9" s="74">
        <f>+M9/L9</f>
        <v>24.77777777777778</v>
      </c>
      <c r="Q9" s="144"/>
      <c r="R9" s="144"/>
      <c r="S9" s="144"/>
    </row>
    <row r="10" spans="1:19" ht="12">
      <c r="A10" s="69" t="s">
        <v>10</v>
      </c>
      <c r="B10" s="75">
        <f>+B11+B12+B13</f>
        <v>38</v>
      </c>
      <c r="C10" s="99">
        <f>+C11+C12+C13</f>
        <v>942</v>
      </c>
      <c r="D10" s="76">
        <f>+D11+D12+D13</f>
        <v>21</v>
      </c>
      <c r="E10" s="76">
        <f>+E11+E12+E13</f>
        <v>198</v>
      </c>
      <c r="F10" s="74">
        <f>+C10/B10</f>
        <v>24.789473684210527</v>
      </c>
      <c r="G10" s="75">
        <f>SUM(G11:G13)</f>
        <v>9</v>
      </c>
      <c r="H10" s="99">
        <f>SUM(H11:H13)</f>
        <v>223</v>
      </c>
      <c r="I10" s="76">
        <f>SUM(I11:I13)</f>
        <v>3</v>
      </c>
      <c r="J10" s="76">
        <f>SUM(J11:J13)</f>
        <v>59</v>
      </c>
      <c r="K10" s="166">
        <f aca="true" t="shared" si="4" ref="K10:K34">+H10/G10</f>
        <v>24.77777777777778</v>
      </c>
      <c r="L10" s="75">
        <f t="shared" si="0"/>
        <v>47</v>
      </c>
      <c r="M10" s="75">
        <f t="shared" si="1"/>
        <v>1165</v>
      </c>
      <c r="N10" s="76">
        <f t="shared" si="2"/>
        <v>24</v>
      </c>
      <c r="O10" s="76">
        <f t="shared" si="3"/>
        <v>257</v>
      </c>
      <c r="P10" s="74">
        <f aca="true" t="shared" si="5" ref="P10:P34">+M10/L10</f>
        <v>24.78723404255319</v>
      </c>
      <c r="Q10" s="144"/>
      <c r="R10" s="144"/>
      <c r="S10" s="144"/>
    </row>
    <row r="11" spans="1:19" ht="12">
      <c r="A11" s="77" t="s">
        <v>29</v>
      </c>
      <c r="B11" s="123">
        <v>19</v>
      </c>
      <c r="C11" s="165">
        <f>72+75+75+90+75+75</f>
        <v>462</v>
      </c>
      <c r="D11" s="152">
        <v>13</v>
      </c>
      <c r="E11" s="152">
        <v>120</v>
      </c>
      <c r="F11" s="79">
        <f aca="true" t="shared" si="6" ref="F11:F34">+C11/B11</f>
        <v>24.31578947368421</v>
      </c>
      <c r="G11" s="123">
        <v>5</v>
      </c>
      <c r="H11" s="165">
        <v>118</v>
      </c>
      <c r="I11" s="153">
        <v>2</v>
      </c>
      <c r="J11" s="153">
        <v>34</v>
      </c>
      <c r="K11" s="162">
        <f t="shared" si="4"/>
        <v>23.6</v>
      </c>
      <c r="L11" s="123">
        <f t="shared" si="0"/>
        <v>24</v>
      </c>
      <c r="M11" s="123">
        <f t="shared" si="1"/>
        <v>580</v>
      </c>
      <c r="N11" s="152">
        <f t="shared" si="2"/>
        <v>15</v>
      </c>
      <c r="O11" s="152">
        <f t="shared" si="3"/>
        <v>154</v>
      </c>
      <c r="P11" s="79">
        <f t="shared" si="5"/>
        <v>24.166666666666668</v>
      </c>
      <c r="Q11" s="144"/>
      <c r="R11" s="144"/>
      <c r="S11" s="144"/>
    </row>
    <row r="12" spans="1:19" ht="12">
      <c r="A12" s="77" t="s">
        <v>30</v>
      </c>
      <c r="B12" s="123">
        <v>10</v>
      </c>
      <c r="C12" s="165">
        <f>73+77+106</f>
        <v>256</v>
      </c>
      <c r="D12" s="152">
        <v>5</v>
      </c>
      <c r="E12" s="152">
        <v>34</v>
      </c>
      <c r="F12" s="79">
        <f t="shared" si="6"/>
        <v>25.6</v>
      </c>
      <c r="G12" s="123">
        <v>4</v>
      </c>
      <c r="H12" s="174">
        <v>105</v>
      </c>
      <c r="I12" s="153">
        <v>1</v>
      </c>
      <c r="J12" s="153">
        <v>25</v>
      </c>
      <c r="K12" s="162">
        <f t="shared" si="4"/>
        <v>26.25</v>
      </c>
      <c r="L12" s="123">
        <f t="shared" si="0"/>
        <v>14</v>
      </c>
      <c r="M12" s="123">
        <f t="shared" si="1"/>
        <v>361</v>
      </c>
      <c r="N12" s="152">
        <f t="shared" si="2"/>
        <v>6</v>
      </c>
      <c r="O12" s="152">
        <f t="shared" si="3"/>
        <v>59</v>
      </c>
      <c r="P12" s="79">
        <f t="shared" si="5"/>
        <v>25.785714285714285</v>
      </c>
      <c r="Q12" s="144"/>
      <c r="R12" s="144"/>
      <c r="S12" s="144"/>
    </row>
    <row r="13" spans="1:19" ht="12">
      <c r="A13" s="77" t="s">
        <v>31</v>
      </c>
      <c r="B13" s="123">
        <v>9</v>
      </c>
      <c r="C13" s="165">
        <f>75+56+93</f>
        <v>224</v>
      </c>
      <c r="D13" s="152">
        <v>3</v>
      </c>
      <c r="E13" s="152">
        <v>44</v>
      </c>
      <c r="F13" s="79">
        <f t="shared" si="6"/>
        <v>24.88888888888889</v>
      </c>
      <c r="G13" s="123"/>
      <c r="H13" s="174"/>
      <c r="I13" s="153"/>
      <c r="J13" s="153"/>
      <c r="K13" s="166"/>
      <c r="L13" s="123">
        <f t="shared" si="0"/>
        <v>9</v>
      </c>
      <c r="M13" s="123">
        <f t="shared" si="1"/>
        <v>224</v>
      </c>
      <c r="N13" s="152">
        <f t="shared" si="2"/>
        <v>3</v>
      </c>
      <c r="O13" s="152">
        <f t="shared" si="3"/>
        <v>44</v>
      </c>
      <c r="P13" s="79">
        <f t="shared" si="5"/>
        <v>24.88888888888889</v>
      </c>
      <c r="Q13" s="144"/>
      <c r="R13" s="144"/>
      <c r="S13" s="144"/>
    </row>
    <row r="14" spans="1:19" ht="12">
      <c r="A14" s="69" t="s">
        <v>11</v>
      </c>
      <c r="B14" s="75">
        <f>SUM(B15:B16)</f>
        <v>17</v>
      </c>
      <c r="C14" s="75">
        <f>SUM(C15:C16)</f>
        <v>407</v>
      </c>
      <c r="D14" s="80">
        <f>SUM(D15:D16)</f>
        <v>5</v>
      </c>
      <c r="E14" s="80">
        <f>SUM(E15:E16)</f>
        <v>62</v>
      </c>
      <c r="F14" s="74">
        <f t="shared" si="6"/>
        <v>23.941176470588236</v>
      </c>
      <c r="G14" s="75">
        <f>SUM(G15:G16)</f>
        <v>3</v>
      </c>
      <c r="H14" s="75">
        <f>SUM(H15:H16)</f>
        <v>74</v>
      </c>
      <c r="I14" s="80">
        <f>SUM(I15:I16)</f>
        <v>1</v>
      </c>
      <c r="J14" s="80">
        <f>SUM(J15:J16)</f>
        <v>26</v>
      </c>
      <c r="K14" s="166">
        <f t="shared" si="4"/>
        <v>24.666666666666668</v>
      </c>
      <c r="L14" s="75">
        <f t="shared" si="0"/>
        <v>20</v>
      </c>
      <c r="M14" s="75">
        <f t="shared" si="1"/>
        <v>481</v>
      </c>
      <c r="N14" s="76">
        <f t="shared" si="2"/>
        <v>6</v>
      </c>
      <c r="O14" s="76">
        <f t="shared" si="3"/>
        <v>88</v>
      </c>
      <c r="P14" s="74">
        <f t="shared" si="5"/>
        <v>24.05</v>
      </c>
      <c r="Q14" s="144"/>
      <c r="R14" s="144"/>
      <c r="S14" s="144"/>
    </row>
    <row r="15" spans="1:19" ht="12">
      <c r="A15" s="77" t="s">
        <v>32</v>
      </c>
      <c r="B15" s="123">
        <v>5</v>
      </c>
      <c r="C15" s="174">
        <f>52+73</f>
        <v>125</v>
      </c>
      <c r="D15" s="152">
        <v>2</v>
      </c>
      <c r="E15" s="152">
        <v>22</v>
      </c>
      <c r="F15" s="79">
        <f t="shared" si="6"/>
        <v>25</v>
      </c>
      <c r="G15" s="123">
        <v>3</v>
      </c>
      <c r="H15" s="165">
        <v>74</v>
      </c>
      <c r="I15" s="153">
        <v>1</v>
      </c>
      <c r="J15" s="153">
        <v>26</v>
      </c>
      <c r="K15" s="162">
        <f t="shared" si="4"/>
        <v>24.666666666666668</v>
      </c>
      <c r="L15" s="123">
        <f t="shared" si="0"/>
        <v>8</v>
      </c>
      <c r="M15" s="123">
        <f t="shared" si="1"/>
        <v>199</v>
      </c>
      <c r="N15" s="152">
        <f t="shared" si="2"/>
        <v>3</v>
      </c>
      <c r="O15" s="152">
        <f t="shared" si="3"/>
        <v>48</v>
      </c>
      <c r="P15" s="79">
        <f t="shared" si="5"/>
        <v>24.875</v>
      </c>
      <c r="Q15" s="144"/>
      <c r="R15" s="144"/>
      <c r="S15" s="144"/>
    </row>
    <row r="16" spans="1:19" ht="12">
      <c r="A16" s="77" t="s">
        <v>33</v>
      </c>
      <c r="B16" s="123">
        <v>12</v>
      </c>
      <c r="C16" s="174">
        <f>73+70+66+73</f>
        <v>282</v>
      </c>
      <c r="D16" s="152">
        <v>3</v>
      </c>
      <c r="E16" s="152">
        <v>40</v>
      </c>
      <c r="F16" s="79">
        <f t="shared" si="6"/>
        <v>23.5</v>
      </c>
      <c r="G16" s="123"/>
      <c r="H16" s="165"/>
      <c r="I16" s="153"/>
      <c r="J16" s="153"/>
      <c r="K16" s="166"/>
      <c r="L16" s="123">
        <f t="shared" si="0"/>
        <v>12</v>
      </c>
      <c r="M16" s="123">
        <f t="shared" si="1"/>
        <v>282</v>
      </c>
      <c r="N16" s="152">
        <f t="shared" si="2"/>
        <v>3</v>
      </c>
      <c r="O16" s="152">
        <f t="shared" si="3"/>
        <v>40</v>
      </c>
      <c r="P16" s="79">
        <f t="shared" si="5"/>
        <v>23.5</v>
      </c>
      <c r="Q16" s="144"/>
      <c r="R16" s="144"/>
      <c r="S16" s="144"/>
    </row>
    <row r="17" spans="1:19" ht="12">
      <c r="A17" s="69" t="s">
        <v>12</v>
      </c>
      <c r="B17" s="75">
        <f>SUM(B18:B19)</f>
        <v>22</v>
      </c>
      <c r="C17" s="75">
        <f>SUM(C18:C19)</f>
        <v>544</v>
      </c>
      <c r="D17" s="80">
        <f>SUM(D18:D19)</f>
        <v>9</v>
      </c>
      <c r="E17" s="80">
        <f>SUM(E18:E19)</f>
        <v>64</v>
      </c>
      <c r="F17" s="74">
        <f t="shared" si="6"/>
        <v>24.727272727272727</v>
      </c>
      <c r="G17" s="75">
        <f>SUM(G18:G19)</f>
        <v>2</v>
      </c>
      <c r="H17" s="75">
        <f>SUM(H18:H19)</f>
        <v>50</v>
      </c>
      <c r="I17" s="80">
        <f>SUM(I18:I19)</f>
        <v>1</v>
      </c>
      <c r="J17" s="80">
        <f>SUM(J18:J19)</f>
        <v>21</v>
      </c>
      <c r="K17" s="166">
        <f t="shared" si="4"/>
        <v>25</v>
      </c>
      <c r="L17" s="75">
        <f t="shared" si="0"/>
        <v>24</v>
      </c>
      <c r="M17" s="75">
        <f t="shared" si="1"/>
        <v>594</v>
      </c>
      <c r="N17" s="76">
        <f t="shared" si="2"/>
        <v>10</v>
      </c>
      <c r="O17" s="76">
        <f t="shared" si="3"/>
        <v>85</v>
      </c>
      <c r="P17" s="74">
        <f t="shared" si="5"/>
        <v>24.75</v>
      </c>
      <c r="Q17" s="144"/>
      <c r="R17" s="144"/>
      <c r="S17" s="144"/>
    </row>
    <row r="18" spans="1:19" ht="12">
      <c r="A18" s="77" t="s">
        <v>34</v>
      </c>
      <c r="B18" s="123">
        <v>12</v>
      </c>
      <c r="C18" s="165">
        <f>73+75+72+75</f>
        <v>295</v>
      </c>
      <c r="D18" s="152">
        <v>5</v>
      </c>
      <c r="E18" s="152">
        <v>26</v>
      </c>
      <c r="F18" s="79">
        <f t="shared" si="6"/>
        <v>24.583333333333332</v>
      </c>
      <c r="G18" s="123">
        <v>2</v>
      </c>
      <c r="H18" s="165">
        <v>50</v>
      </c>
      <c r="I18" s="153">
        <v>1</v>
      </c>
      <c r="J18" s="153">
        <v>21</v>
      </c>
      <c r="K18" s="162">
        <f t="shared" si="4"/>
        <v>25</v>
      </c>
      <c r="L18" s="123">
        <f t="shared" si="0"/>
        <v>14</v>
      </c>
      <c r="M18" s="123">
        <f t="shared" si="1"/>
        <v>345</v>
      </c>
      <c r="N18" s="152">
        <f t="shared" si="2"/>
        <v>6</v>
      </c>
      <c r="O18" s="152">
        <f t="shared" si="3"/>
        <v>47</v>
      </c>
      <c r="P18" s="79">
        <f t="shared" si="5"/>
        <v>24.642857142857142</v>
      </c>
      <c r="Q18" s="144"/>
      <c r="R18" s="144"/>
      <c r="S18" s="144"/>
    </row>
    <row r="19" spans="1:19" ht="12">
      <c r="A19" s="77" t="s">
        <v>35</v>
      </c>
      <c r="B19" s="123">
        <v>10</v>
      </c>
      <c r="C19" s="165">
        <f>99+50+100</f>
        <v>249</v>
      </c>
      <c r="D19" s="152">
        <v>4</v>
      </c>
      <c r="E19" s="152">
        <v>38</v>
      </c>
      <c r="F19" s="79">
        <f t="shared" si="6"/>
        <v>24.9</v>
      </c>
      <c r="G19" s="123"/>
      <c r="H19" s="165"/>
      <c r="I19" s="153"/>
      <c r="J19" s="153"/>
      <c r="K19" s="166"/>
      <c r="L19" s="123">
        <f t="shared" si="0"/>
        <v>10</v>
      </c>
      <c r="M19" s="123">
        <f t="shared" si="1"/>
        <v>249</v>
      </c>
      <c r="N19" s="152">
        <f t="shared" si="2"/>
        <v>4</v>
      </c>
      <c r="O19" s="152">
        <f t="shared" si="3"/>
        <v>38</v>
      </c>
      <c r="P19" s="79">
        <f t="shared" si="5"/>
        <v>24.9</v>
      </c>
      <c r="Q19" s="144"/>
      <c r="R19" s="144"/>
      <c r="S19" s="144"/>
    </row>
    <row r="20" spans="1:19" ht="12">
      <c r="A20" s="69" t="s">
        <v>36</v>
      </c>
      <c r="B20" s="75">
        <v>15</v>
      </c>
      <c r="C20" s="99">
        <f>142+73+75+69</f>
        <v>359</v>
      </c>
      <c r="D20" s="76">
        <v>5</v>
      </c>
      <c r="E20" s="76">
        <v>75</v>
      </c>
      <c r="F20" s="74">
        <f t="shared" si="6"/>
        <v>23.933333333333334</v>
      </c>
      <c r="G20" s="167">
        <v>11</v>
      </c>
      <c r="H20" s="99">
        <f>48+93+49+59</f>
        <v>249</v>
      </c>
      <c r="I20" s="168">
        <v>4</v>
      </c>
      <c r="J20" s="168">
        <v>48</v>
      </c>
      <c r="K20" s="166">
        <f t="shared" si="4"/>
        <v>22.636363636363637</v>
      </c>
      <c r="L20" s="75">
        <f t="shared" si="0"/>
        <v>26</v>
      </c>
      <c r="M20" s="75">
        <f t="shared" si="1"/>
        <v>608</v>
      </c>
      <c r="N20" s="76">
        <f t="shared" si="2"/>
        <v>9</v>
      </c>
      <c r="O20" s="76">
        <f t="shared" si="3"/>
        <v>123</v>
      </c>
      <c r="P20" s="74">
        <f t="shared" si="5"/>
        <v>23.384615384615383</v>
      </c>
      <c r="Q20" s="144"/>
      <c r="R20" s="110"/>
      <c r="S20" s="144"/>
    </row>
    <row r="21" spans="1:19" ht="12">
      <c r="A21" s="69" t="s">
        <v>37</v>
      </c>
      <c r="B21" s="81">
        <f>SUM(B22:B24)</f>
        <v>30</v>
      </c>
      <c r="C21" s="81">
        <f>SUM(C22:C24)</f>
        <v>736</v>
      </c>
      <c r="D21" s="82">
        <f>SUM(D22:D24)</f>
        <v>13</v>
      </c>
      <c r="E21" s="82">
        <f>SUM(E22:E24)</f>
        <v>73</v>
      </c>
      <c r="F21" s="74">
        <f t="shared" si="6"/>
        <v>24.533333333333335</v>
      </c>
      <c r="G21" s="75">
        <f>SUM(G22:G24)</f>
        <v>5</v>
      </c>
      <c r="H21" s="75">
        <f>SUM(H22:H24)</f>
        <v>122</v>
      </c>
      <c r="I21" s="75"/>
      <c r="J21" s="80">
        <f>SUM(J22:J24)</f>
        <v>24</v>
      </c>
      <c r="K21" s="166">
        <f t="shared" si="4"/>
        <v>24.4</v>
      </c>
      <c r="L21" s="75">
        <f t="shared" si="0"/>
        <v>35</v>
      </c>
      <c r="M21" s="75">
        <f t="shared" si="1"/>
        <v>858</v>
      </c>
      <c r="N21" s="76">
        <f t="shared" si="2"/>
        <v>13</v>
      </c>
      <c r="O21" s="76">
        <f t="shared" si="3"/>
        <v>97</v>
      </c>
      <c r="P21" s="74">
        <f t="shared" si="5"/>
        <v>24.514285714285716</v>
      </c>
      <c r="Q21" s="144"/>
      <c r="R21" s="144"/>
      <c r="S21" s="144"/>
    </row>
    <row r="22" spans="1:19" ht="12">
      <c r="A22" s="77" t="s">
        <v>38</v>
      </c>
      <c r="B22" s="146">
        <v>7</v>
      </c>
      <c r="C22" s="165">
        <f>50+50+70</f>
        <v>170</v>
      </c>
      <c r="D22" s="152">
        <v>3</v>
      </c>
      <c r="E22" s="152">
        <v>12</v>
      </c>
      <c r="F22" s="79">
        <f t="shared" si="6"/>
        <v>24.285714285714285</v>
      </c>
      <c r="G22" s="123"/>
      <c r="H22" s="165"/>
      <c r="I22" s="153"/>
      <c r="J22" s="153"/>
      <c r="K22" s="166"/>
      <c r="L22" s="123">
        <f t="shared" si="0"/>
        <v>7</v>
      </c>
      <c r="M22" s="123">
        <f t="shared" si="1"/>
        <v>170</v>
      </c>
      <c r="N22" s="152">
        <f t="shared" si="2"/>
        <v>3</v>
      </c>
      <c r="O22" s="152">
        <f t="shared" si="3"/>
        <v>12</v>
      </c>
      <c r="P22" s="79">
        <f t="shared" si="5"/>
        <v>24.285714285714285</v>
      </c>
      <c r="Q22" s="144"/>
      <c r="R22" s="110"/>
      <c r="S22" s="144"/>
    </row>
    <row r="23" spans="1:19" ht="12">
      <c r="A23" s="77" t="s">
        <v>39</v>
      </c>
      <c r="B23" s="146">
        <v>8</v>
      </c>
      <c r="C23" s="165">
        <f>75+75+50</f>
        <v>200</v>
      </c>
      <c r="D23" s="152">
        <v>2</v>
      </c>
      <c r="E23" s="152">
        <v>24</v>
      </c>
      <c r="F23" s="79">
        <f t="shared" si="6"/>
        <v>25</v>
      </c>
      <c r="G23" s="123"/>
      <c r="H23" s="165"/>
      <c r="I23" s="153"/>
      <c r="J23" s="153"/>
      <c r="K23" s="166"/>
      <c r="L23" s="123">
        <f t="shared" si="0"/>
        <v>8</v>
      </c>
      <c r="M23" s="123">
        <f t="shared" si="1"/>
        <v>200</v>
      </c>
      <c r="N23" s="152">
        <f t="shared" si="2"/>
        <v>2</v>
      </c>
      <c r="O23" s="152">
        <f t="shared" si="3"/>
        <v>24</v>
      </c>
      <c r="P23" s="79">
        <f t="shared" si="5"/>
        <v>25</v>
      </c>
      <c r="Q23" s="144"/>
      <c r="R23" s="144"/>
      <c r="S23" s="144"/>
    </row>
    <row r="24" spans="1:19" ht="12">
      <c r="A24" s="77" t="s">
        <v>40</v>
      </c>
      <c r="B24" s="146">
        <v>15</v>
      </c>
      <c r="C24" s="165">
        <f>50+75+75+24+50+92</f>
        <v>366</v>
      </c>
      <c r="D24" s="152">
        <v>8</v>
      </c>
      <c r="E24" s="152">
        <v>37</v>
      </c>
      <c r="F24" s="79">
        <f t="shared" si="6"/>
        <v>24.4</v>
      </c>
      <c r="G24" s="123">
        <v>5</v>
      </c>
      <c r="H24" s="165">
        <f>72+50</f>
        <v>122</v>
      </c>
      <c r="I24" s="153"/>
      <c r="J24" s="153">
        <v>24</v>
      </c>
      <c r="K24" s="162">
        <f t="shared" si="4"/>
        <v>24.4</v>
      </c>
      <c r="L24" s="123">
        <f t="shared" si="0"/>
        <v>20</v>
      </c>
      <c r="M24" s="123">
        <f t="shared" si="1"/>
        <v>488</v>
      </c>
      <c r="N24" s="152">
        <f t="shared" si="2"/>
        <v>8</v>
      </c>
      <c r="O24" s="152">
        <f t="shared" si="3"/>
        <v>61</v>
      </c>
      <c r="P24" s="79">
        <f t="shared" si="5"/>
        <v>24.4</v>
      </c>
      <c r="Q24" s="144"/>
      <c r="R24" s="144"/>
      <c r="S24" s="144"/>
    </row>
    <row r="25" spans="1:19" ht="12">
      <c r="A25" s="69" t="s">
        <v>41</v>
      </c>
      <c r="B25" s="75">
        <f>SUM(B26:B27)</f>
        <v>19</v>
      </c>
      <c r="C25" s="75">
        <f>SUM(C26:C27)</f>
        <v>462</v>
      </c>
      <c r="D25" s="80">
        <f>SUM(D26:D27)</f>
        <v>12</v>
      </c>
      <c r="E25" s="80">
        <f>SUM(E26:E27)</f>
        <v>52</v>
      </c>
      <c r="F25" s="74">
        <f t="shared" si="6"/>
        <v>24.31578947368421</v>
      </c>
      <c r="G25" s="75">
        <f>SUM(G26:G27)</f>
        <v>12</v>
      </c>
      <c r="H25" s="75">
        <f>SUM(H26:H27)</f>
        <v>256</v>
      </c>
      <c r="I25" s="80">
        <f>SUM(I26:I27)</f>
        <v>4</v>
      </c>
      <c r="J25" s="80">
        <f>SUM(J26:J27)</f>
        <v>61</v>
      </c>
      <c r="K25" s="166">
        <f t="shared" si="4"/>
        <v>21.333333333333332</v>
      </c>
      <c r="L25" s="75">
        <f t="shared" si="0"/>
        <v>31</v>
      </c>
      <c r="M25" s="75">
        <f t="shared" si="1"/>
        <v>718</v>
      </c>
      <c r="N25" s="76">
        <f t="shared" si="2"/>
        <v>16</v>
      </c>
      <c r="O25" s="76">
        <f t="shared" si="3"/>
        <v>113</v>
      </c>
      <c r="P25" s="74">
        <f t="shared" si="5"/>
        <v>23.161290322580644</v>
      </c>
      <c r="Q25" s="144"/>
      <c r="R25" s="144"/>
      <c r="S25" s="144"/>
    </row>
    <row r="26" spans="1:19" ht="12">
      <c r="A26" s="77" t="s">
        <v>42</v>
      </c>
      <c r="B26" s="123">
        <v>9</v>
      </c>
      <c r="C26" s="165">
        <f>77+70+66</f>
        <v>213</v>
      </c>
      <c r="D26" s="152">
        <v>4</v>
      </c>
      <c r="E26" s="152">
        <v>35</v>
      </c>
      <c r="F26" s="79">
        <f t="shared" si="6"/>
        <v>23.666666666666668</v>
      </c>
      <c r="G26" s="123"/>
      <c r="H26" s="165"/>
      <c r="I26" s="153"/>
      <c r="J26" s="153"/>
      <c r="K26" s="166"/>
      <c r="L26" s="123">
        <f t="shared" si="0"/>
        <v>9</v>
      </c>
      <c r="M26" s="123">
        <f t="shared" si="1"/>
        <v>213</v>
      </c>
      <c r="N26" s="152">
        <f t="shared" si="2"/>
        <v>4</v>
      </c>
      <c r="O26" s="152">
        <f t="shared" si="3"/>
        <v>35</v>
      </c>
      <c r="P26" s="79">
        <f t="shared" si="5"/>
        <v>23.666666666666668</v>
      </c>
      <c r="Q26" s="144"/>
      <c r="R26" s="144"/>
      <c r="S26" s="144"/>
    </row>
    <row r="27" spans="1:19" ht="12">
      <c r="A27" s="77" t="s">
        <v>43</v>
      </c>
      <c r="B27" s="123">
        <v>10</v>
      </c>
      <c r="C27" s="165">
        <f>50+50+73+76</f>
        <v>249</v>
      </c>
      <c r="D27" s="152">
        <v>8</v>
      </c>
      <c r="E27" s="152">
        <v>17</v>
      </c>
      <c r="F27" s="79">
        <f t="shared" si="6"/>
        <v>24.9</v>
      </c>
      <c r="G27" s="123">
        <v>12</v>
      </c>
      <c r="H27" s="165">
        <f>60+69+70+57</f>
        <v>256</v>
      </c>
      <c r="I27" s="153">
        <v>4</v>
      </c>
      <c r="J27" s="153">
        <v>61</v>
      </c>
      <c r="K27" s="162">
        <f t="shared" si="4"/>
        <v>21.333333333333332</v>
      </c>
      <c r="L27" s="123">
        <f t="shared" si="0"/>
        <v>22</v>
      </c>
      <c r="M27" s="123">
        <f t="shared" si="1"/>
        <v>505</v>
      </c>
      <c r="N27" s="152">
        <f t="shared" si="2"/>
        <v>12</v>
      </c>
      <c r="O27" s="152">
        <f t="shared" si="3"/>
        <v>78</v>
      </c>
      <c r="P27" s="79">
        <f t="shared" si="5"/>
        <v>22.954545454545453</v>
      </c>
      <c r="Q27" s="144"/>
      <c r="R27" s="144"/>
      <c r="S27" s="144"/>
    </row>
    <row r="28" spans="1:19" ht="12">
      <c r="A28" s="69" t="s">
        <v>16</v>
      </c>
      <c r="B28" s="75">
        <f>SUM(B29:B30)</f>
        <v>22</v>
      </c>
      <c r="C28" s="75">
        <f>SUM(C29:C30)</f>
        <v>528</v>
      </c>
      <c r="D28" s="80">
        <f>SUM(D29:D30)</f>
        <v>5</v>
      </c>
      <c r="E28" s="80">
        <f>SUM(E29:E30)</f>
        <v>56</v>
      </c>
      <c r="F28" s="74">
        <f t="shared" si="6"/>
        <v>24</v>
      </c>
      <c r="G28" s="75">
        <f>SUM(G29:G30)</f>
        <v>2</v>
      </c>
      <c r="H28" s="75">
        <f>SUM(H29:H30)</f>
        <v>42</v>
      </c>
      <c r="I28" s="75"/>
      <c r="J28" s="80">
        <f>SUM(J29:J30)</f>
        <v>16</v>
      </c>
      <c r="K28" s="166">
        <f t="shared" si="4"/>
        <v>21</v>
      </c>
      <c r="L28" s="75">
        <f t="shared" si="0"/>
        <v>24</v>
      </c>
      <c r="M28" s="75">
        <f t="shared" si="1"/>
        <v>570</v>
      </c>
      <c r="N28" s="76">
        <f t="shared" si="2"/>
        <v>5</v>
      </c>
      <c r="O28" s="76">
        <f t="shared" si="3"/>
        <v>72</v>
      </c>
      <c r="P28" s="74">
        <f t="shared" si="5"/>
        <v>23.75</v>
      </c>
      <c r="Q28" s="144"/>
      <c r="R28" s="144"/>
      <c r="S28" s="144"/>
    </row>
    <row r="29" spans="1:19" ht="12">
      <c r="A29" s="77" t="s">
        <v>44</v>
      </c>
      <c r="B29" s="123">
        <v>18</v>
      </c>
      <c r="C29" s="165">
        <f>74+99+68+74+74+50</f>
        <v>439</v>
      </c>
      <c r="D29" s="152">
        <v>5</v>
      </c>
      <c r="E29" s="152">
        <v>36</v>
      </c>
      <c r="F29" s="79">
        <f t="shared" si="6"/>
        <v>24.38888888888889</v>
      </c>
      <c r="G29" s="123"/>
      <c r="H29" s="165"/>
      <c r="I29" s="153"/>
      <c r="J29" s="153"/>
      <c r="K29" s="166"/>
      <c r="L29" s="123">
        <f t="shared" si="0"/>
        <v>18</v>
      </c>
      <c r="M29" s="123">
        <f t="shared" si="1"/>
        <v>439</v>
      </c>
      <c r="N29" s="152">
        <f t="shared" si="2"/>
        <v>5</v>
      </c>
      <c r="O29" s="152">
        <f t="shared" si="3"/>
        <v>36</v>
      </c>
      <c r="P29" s="79">
        <f t="shared" si="5"/>
        <v>24.38888888888889</v>
      </c>
      <c r="Q29" s="144"/>
      <c r="R29" s="144"/>
      <c r="S29" s="144"/>
    </row>
    <row r="30" spans="1:19" ht="12">
      <c r="A30" s="77" t="s">
        <v>45</v>
      </c>
      <c r="B30" s="123">
        <v>4</v>
      </c>
      <c r="C30" s="165">
        <v>89</v>
      </c>
      <c r="D30" s="152"/>
      <c r="E30" s="152">
        <v>20</v>
      </c>
      <c r="F30" s="79">
        <f t="shared" si="6"/>
        <v>22.25</v>
      </c>
      <c r="G30" s="123">
        <v>2</v>
      </c>
      <c r="H30" s="165">
        <v>42</v>
      </c>
      <c r="I30" s="153"/>
      <c r="J30" s="153">
        <v>16</v>
      </c>
      <c r="K30" s="162">
        <f t="shared" si="4"/>
        <v>21</v>
      </c>
      <c r="L30" s="123">
        <f aca="true" t="shared" si="7" ref="L30:M34">+B30+G30</f>
        <v>6</v>
      </c>
      <c r="M30" s="123">
        <f t="shared" si="7"/>
        <v>131</v>
      </c>
      <c r="N30" s="152"/>
      <c r="O30" s="152">
        <f>+E30+J30</f>
        <v>36</v>
      </c>
      <c r="P30" s="79">
        <f t="shared" si="5"/>
        <v>21.833333333333332</v>
      </c>
      <c r="Q30" s="144"/>
      <c r="R30" s="144"/>
      <c r="S30" s="144"/>
    </row>
    <row r="31" spans="1:19" ht="12">
      <c r="A31" s="69" t="s">
        <v>17</v>
      </c>
      <c r="B31" s="75">
        <f>SUM(B32:B33)</f>
        <v>21</v>
      </c>
      <c r="C31" s="75">
        <f>SUM(C32:C33)</f>
        <v>536</v>
      </c>
      <c r="D31" s="80">
        <f>SUM(D32:D33)</f>
        <v>16</v>
      </c>
      <c r="E31" s="80">
        <f>SUM(E32:E33)</f>
        <v>42</v>
      </c>
      <c r="F31" s="74">
        <f t="shared" si="6"/>
        <v>25.523809523809526</v>
      </c>
      <c r="G31" s="75">
        <f>SUM(G32:G33)</f>
        <v>14</v>
      </c>
      <c r="H31" s="75">
        <f>SUM(H32:H33)</f>
        <v>337</v>
      </c>
      <c r="I31" s="80">
        <f>SUM(I32:I33)</f>
        <v>4</v>
      </c>
      <c r="J31" s="80">
        <f>SUM(J32:J33)</f>
        <v>54</v>
      </c>
      <c r="K31" s="166">
        <f t="shared" si="4"/>
        <v>24.071428571428573</v>
      </c>
      <c r="L31" s="75">
        <f t="shared" si="7"/>
        <v>35</v>
      </c>
      <c r="M31" s="75">
        <f t="shared" si="7"/>
        <v>873</v>
      </c>
      <c r="N31" s="76">
        <f>+D31+I31</f>
        <v>20</v>
      </c>
      <c r="O31" s="76">
        <f>+E31+J31</f>
        <v>96</v>
      </c>
      <c r="P31" s="74">
        <f t="shared" si="5"/>
        <v>24.942857142857143</v>
      </c>
      <c r="Q31" s="144"/>
      <c r="R31" s="144"/>
      <c r="S31" s="144"/>
    </row>
    <row r="32" spans="1:19" ht="12">
      <c r="A32" s="86" t="s">
        <v>46</v>
      </c>
      <c r="B32" s="123">
        <v>12</v>
      </c>
      <c r="C32" s="165">
        <f>74+75+75+75</f>
        <v>299</v>
      </c>
      <c r="D32" s="152">
        <v>7</v>
      </c>
      <c r="E32" s="152">
        <v>16</v>
      </c>
      <c r="F32" s="79">
        <f t="shared" si="6"/>
        <v>24.916666666666668</v>
      </c>
      <c r="G32" s="123">
        <v>11</v>
      </c>
      <c r="H32" s="165">
        <f>68+72+73+49</f>
        <v>262</v>
      </c>
      <c r="I32" s="153">
        <v>4</v>
      </c>
      <c r="J32" s="153">
        <v>43</v>
      </c>
      <c r="K32" s="162">
        <f t="shared" si="4"/>
        <v>23.818181818181817</v>
      </c>
      <c r="L32" s="123">
        <f t="shared" si="7"/>
        <v>23</v>
      </c>
      <c r="M32" s="123">
        <f t="shared" si="7"/>
        <v>561</v>
      </c>
      <c r="N32" s="152">
        <f>+D32+I32</f>
        <v>11</v>
      </c>
      <c r="O32" s="152">
        <f>+E32+J32</f>
        <v>59</v>
      </c>
      <c r="P32" s="79">
        <f t="shared" si="5"/>
        <v>24.391304347826086</v>
      </c>
      <c r="Q32" s="144"/>
      <c r="R32" s="144"/>
      <c r="S32" s="144"/>
    </row>
    <row r="33" spans="1:19" ht="12">
      <c r="A33" s="86" t="s">
        <v>47</v>
      </c>
      <c r="B33" s="155">
        <v>9</v>
      </c>
      <c r="C33" s="165">
        <f>50+75+112</f>
        <v>237</v>
      </c>
      <c r="D33" s="169">
        <v>9</v>
      </c>
      <c r="E33" s="169">
        <v>26</v>
      </c>
      <c r="F33" s="87">
        <f t="shared" si="6"/>
        <v>26.333333333333332</v>
      </c>
      <c r="G33" s="155">
        <v>3</v>
      </c>
      <c r="H33" s="165">
        <v>75</v>
      </c>
      <c r="I33" s="156"/>
      <c r="J33" s="156">
        <v>11</v>
      </c>
      <c r="K33" s="170">
        <f t="shared" si="4"/>
        <v>25</v>
      </c>
      <c r="L33" s="155">
        <f t="shared" si="7"/>
        <v>12</v>
      </c>
      <c r="M33" s="155">
        <f t="shared" si="7"/>
        <v>312</v>
      </c>
      <c r="N33" s="169">
        <f>+D33+I33</f>
        <v>9</v>
      </c>
      <c r="O33" s="169">
        <f>+E33+J33</f>
        <v>37</v>
      </c>
      <c r="P33" s="87">
        <f t="shared" si="5"/>
        <v>26</v>
      </c>
      <c r="Q33" s="144"/>
      <c r="R33" s="144"/>
      <c r="S33" s="144"/>
    </row>
    <row r="34" spans="1:19" ht="12">
      <c r="A34" s="89" t="s">
        <v>48</v>
      </c>
      <c r="B34" s="90">
        <f>+B9+B10+B14+B17+B20+B21+B25+B28+B31</f>
        <v>202</v>
      </c>
      <c r="C34" s="91">
        <f>+C9+C10+C14+C17+C20+C21+C25+C28+C31</f>
        <v>4960</v>
      </c>
      <c r="D34" s="93">
        <f>+D9+D10+D14+D17+D20+D21+D25+D28+D31</f>
        <v>100</v>
      </c>
      <c r="E34" s="93">
        <f>+E9+E10+E14+E17+E20+E21+E25+E28+E31</f>
        <v>679</v>
      </c>
      <c r="F34" s="94">
        <f t="shared" si="6"/>
        <v>24.554455445544555</v>
      </c>
      <c r="G34" s="90">
        <f>+G9+G10+G14+G17+G20+G21+G25+G28+G31</f>
        <v>58</v>
      </c>
      <c r="H34" s="91">
        <f>+H10+H14+H17+H20+H21+H25+H28+H31</f>
        <v>1353</v>
      </c>
      <c r="I34" s="95">
        <f>+I10+I14+I17+I20+I21+I25+I28+I31</f>
        <v>17</v>
      </c>
      <c r="J34" s="95">
        <f>+J10+J14+J17+J20+J21+J25+J28+J31</f>
        <v>309</v>
      </c>
      <c r="K34" s="96">
        <f t="shared" si="4"/>
        <v>23.32758620689655</v>
      </c>
      <c r="L34" s="171">
        <f t="shared" si="7"/>
        <v>260</v>
      </c>
      <c r="M34" s="171">
        <f t="shared" si="7"/>
        <v>6313</v>
      </c>
      <c r="N34" s="93">
        <f>+D34+I34</f>
        <v>117</v>
      </c>
      <c r="O34" s="93">
        <f>+E34+J34</f>
        <v>988</v>
      </c>
      <c r="P34" s="94">
        <f t="shared" si="5"/>
        <v>24.28076923076923</v>
      </c>
      <c r="Q34" s="144"/>
      <c r="R34" s="144"/>
      <c r="S34" s="144"/>
    </row>
    <row r="35" spans="1:19" ht="12">
      <c r="A35" s="97" t="s">
        <v>56</v>
      </c>
      <c r="B35" s="98"/>
      <c r="C35" s="99"/>
      <c r="D35" s="100"/>
      <c r="E35" s="100"/>
      <c r="F35" s="101"/>
      <c r="G35" s="98"/>
      <c r="H35" s="99"/>
      <c r="I35" s="100"/>
      <c r="J35" s="100"/>
      <c r="K35" s="102"/>
      <c r="L35" s="103"/>
      <c r="M35" s="103"/>
      <c r="N35" s="100"/>
      <c r="O35" s="100"/>
      <c r="P35" s="101"/>
      <c r="Q35" s="144"/>
      <c r="R35" s="144"/>
      <c r="S35" s="144"/>
    </row>
    <row r="36" spans="1:19" ht="12">
      <c r="A36" s="105" t="s">
        <v>54</v>
      </c>
      <c r="B36" s="106"/>
      <c r="C36" s="107"/>
      <c r="D36" s="106"/>
      <c r="E36" s="106"/>
      <c r="F36" s="106"/>
      <c r="G36" s="107"/>
      <c r="H36" s="108"/>
      <c r="I36" s="108"/>
      <c r="J36" s="108"/>
      <c r="K36" s="109"/>
      <c r="L36" s="106"/>
      <c r="M36" s="106"/>
      <c r="N36" s="106"/>
      <c r="O36" s="106"/>
      <c r="P36" s="106"/>
      <c r="Q36" s="144"/>
      <c r="R36" s="144"/>
      <c r="S36" s="144"/>
    </row>
    <row r="37" spans="1:19" ht="12">
      <c r="A37" s="105" t="s">
        <v>26</v>
      </c>
      <c r="B37" s="106"/>
      <c r="C37" s="107"/>
      <c r="D37" s="106"/>
      <c r="E37" s="106"/>
      <c r="F37" s="106"/>
      <c r="G37" s="107"/>
      <c r="H37" s="108"/>
      <c r="I37" s="108"/>
      <c r="J37" s="108"/>
      <c r="K37" s="109"/>
      <c r="L37" s="106"/>
      <c r="M37" s="106"/>
      <c r="N37" s="106"/>
      <c r="O37" s="106"/>
      <c r="P37" s="106"/>
      <c r="Q37" s="144"/>
      <c r="R37" s="144"/>
      <c r="S37" s="144"/>
    </row>
    <row r="38" spans="1:19" ht="12">
      <c r="A38" s="14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44"/>
      <c r="R38" s="144"/>
      <c r="S38" s="144"/>
    </row>
    <row r="39" spans="1:19" ht="12">
      <c r="A39" s="173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44"/>
      <c r="R39" s="144"/>
      <c r="S39" s="144"/>
    </row>
    <row r="40" spans="1:19" ht="1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7">
    <mergeCell ref="C5:F5"/>
    <mergeCell ref="H5:K5"/>
    <mergeCell ref="M5:P5"/>
    <mergeCell ref="B3:P3"/>
    <mergeCell ref="B4:F4"/>
    <mergeCell ref="G4:K4"/>
    <mergeCell ref="L4:P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&amp;R400042.xls</oddHeader>
    <oddFooter>&amp;LComune di Bologna - Dipartimento Programmazione</oddFooter>
  </headerFooter>
  <ignoredErrors>
    <ignoredError sqref="E7:P8 L1" numberStoredAsText="1"/>
    <ignoredError sqref="B10:E16 F10:P13 F9:P9 P17:P34 N14:P16" unlockedFormula="1"/>
    <ignoredError sqref="N17:O34 B17:E34 F14:M16 F17:M34" formulaRange="1" unlockedFormula="1"/>
    <ignoredError sqref="F14:M16" formula="1" unlockedFormula="1"/>
    <ignoredError sqref="F17:M34" formula="1" formulaRange="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3" width="6.875" style="21" customWidth="1"/>
    <col min="4" max="4" width="8.125" style="21" customWidth="1"/>
    <col min="5" max="5" width="7.125" style="21" customWidth="1"/>
    <col min="6" max="6" width="7.00390625" style="21" customWidth="1"/>
    <col min="7" max="7" width="6.25390625" style="21" customWidth="1"/>
    <col min="8" max="8" width="7.125" style="21" customWidth="1"/>
    <col min="9" max="9" width="8.125" style="21" customWidth="1"/>
    <col min="10" max="10" width="7.125" style="21" customWidth="1"/>
    <col min="11" max="11" width="6.875" style="21" customWidth="1"/>
    <col min="12" max="12" width="6.25390625" style="21" customWidth="1"/>
    <col min="13" max="13" width="7.125" style="21" customWidth="1"/>
    <col min="14" max="14" width="8.125" style="21" customWidth="1"/>
    <col min="15" max="16" width="7.125" style="21" customWidth="1"/>
    <col min="17" max="17" width="1.875" style="21" customWidth="1"/>
    <col min="18" max="18" width="6.75390625" style="21" customWidth="1"/>
    <col min="19" max="19" width="7.00390625" style="21" customWidth="1"/>
    <col min="20" max="20" width="11.125" style="21" hidden="1" customWidth="1"/>
    <col min="21" max="21" width="9.25390625" style="21" customWidth="1"/>
    <col min="22" max="22" width="8.875" style="21" customWidth="1"/>
    <col min="23" max="23" width="1.25" style="21" customWidth="1"/>
    <col min="24" max="24" width="6.75390625" style="21" customWidth="1"/>
    <col min="25" max="25" width="6.875" style="21" customWidth="1"/>
    <col min="26" max="26" width="8.875" style="21" customWidth="1"/>
    <col min="27" max="27" width="1.25" style="21" customWidth="1"/>
    <col min="28" max="28" width="6.75390625" style="21" customWidth="1"/>
    <col min="29" max="29" width="6.875" style="21" customWidth="1"/>
    <col min="30" max="30" width="8.875" style="21" customWidth="1"/>
    <col min="31" max="16384" width="10.625" style="21" customWidth="1"/>
  </cols>
  <sheetData>
    <row r="1" spans="1:27" s="13" customFormat="1" ht="1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50"/>
      <c r="K1" s="51" t="s">
        <v>25</v>
      </c>
      <c r="L1" s="49"/>
      <c r="M1" s="49"/>
      <c r="N1" s="49"/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</row>
    <row r="2" spans="1:27" s="13" customFormat="1" ht="15" customHeight="1">
      <c r="A2" s="52" t="s">
        <v>68</v>
      </c>
      <c r="B2" s="49"/>
      <c r="C2" s="49"/>
      <c r="D2" s="49"/>
      <c r="E2" s="49"/>
      <c r="F2" s="49"/>
      <c r="G2" s="49"/>
      <c r="H2" s="49"/>
      <c r="I2" s="49"/>
      <c r="J2" s="50"/>
      <c r="K2" s="51"/>
      <c r="L2" s="49"/>
      <c r="M2" s="49"/>
      <c r="N2" s="49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</row>
    <row r="3" spans="1:27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111"/>
      <c r="R3" s="111"/>
      <c r="S3" s="111"/>
      <c r="T3" s="23"/>
      <c r="U3" s="23"/>
      <c r="V3" s="23"/>
      <c r="W3" s="23"/>
      <c r="X3" s="23"/>
      <c r="Y3" s="23"/>
      <c r="Z3" s="23"/>
      <c r="AA3" s="23"/>
    </row>
    <row r="4" spans="1:27" ht="12">
      <c r="A4" s="54"/>
      <c r="B4" s="203" t="s">
        <v>2</v>
      </c>
      <c r="C4" s="203"/>
      <c r="D4" s="203"/>
      <c r="E4" s="203"/>
      <c r="F4" s="203"/>
      <c r="G4" s="203" t="s">
        <v>3</v>
      </c>
      <c r="H4" s="203"/>
      <c r="I4" s="203"/>
      <c r="J4" s="203"/>
      <c r="K4" s="203"/>
      <c r="L4" s="203" t="s">
        <v>20</v>
      </c>
      <c r="M4" s="203"/>
      <c r="N4" s="203"/>
      <c r="O4" s="203"/>
      <c r="P4" s="203"/>
      <c r="Q4" s="148"/>
      <c r="R4" s="148"/>
      <c r="S4" s="148"/>
      <c r="T4" s="24"/>
      <c r="U4" s="24"/>
      <c r="V4" s="24"/>
      <c r="W4" s="24"/>
      <c r="X4" s="23"/>
      <c r="Y4" s="23"/>
      <c r="Z4" s="23"/>
      <c r="AA4" s="24"/>
    </row>
    <row r="5" spans="1:26" ht="12">
      <c r="A5" s="56"/>
      <c r="B5" s="57" t="s">
        <v>4</v>
      </c>
      <c r="C5" s="202" t="s">
        <v>5</v>
      </c>
      <c r="D5" s="202"/>
      <c r="E5" s="202"/>
      <c r="F5" s="202"/>
      <c r="G5" s="57" t="s">
        <v>4</v>
      </c>
      <c r="H5" s="204" t="s">
        <v>5</v>
      </c>
      <c r="I5" s="204"/>
      <c r="J5" s="204"/>
      <c r="K5" s="204"/>
      <c r="L5" s="57" t="s">
        <v>4</v>
      </c>
      <c r="M5" s="204" t="s">
        <v>5</v>
      </c>
      <c r="N5" s="204"/>
      <c r="O5" s="204"/>
      <c r="P5" s="204"/>
      <c r="Q5" s="144"/>
      <c r="R5" s="144"/>
      <c r="S5" s="144"/>
      <c r="X5" s="24"/>
      <c r="Y5" s="24"/>
      <c r="Z5" s="24"/>
    </row>
    <row r="6" spans="1:19" ht="12">
      <c r="A6" s="56"/>
      <c r="B6" s="58"/>
      <c r="C6" s="58" t="s">
        <v>6</v>
      </c>
      <c r="D6" s="59" t="s">
        <v>53</v>
      </c>
      <c r="E6" s="59" t="s">
        <v>19</v>
      </c>
      <c r="F6" s="60" t="s">
        <v>52</v>
      </c>
      <c r="G6" s="58"/>
      <c r="H6" s="61" t="s">
        <v>21</v>
      </c>
      <c r="I6" s="59" t="s">
        <v>19</v>
      </c>
      <c r="J6" s="59" t="s">
        <v>19</v>
      </c>
      <c r="K6" s="60" t="s">
        <v>52</v>
      </c>
      <c r="L6" s="58"/>
      <c r="M6" s="61" t="s">
        <v>21</v>
      </c>
      <c r="N6" s="59" t="s">
        <v>19</v>
      </c>
      <c r="O6" s="59" t="s">
        <v>19</v>
      </c>
      <c r="P6" s="60" t="s">
        <v>52</v>
      </c>
      <c r="Q6" s="144"/>
      <c r="R6" s="144"/>
      <c r="S6" s="144"/>
    </row>
    <row r="7" spans="1:19" ht="12">
      <c r="A7" s="56"/>
      <c r="B7" s="58"/>
      <c r="C7" s="58"/>
      <c r="D7" s="59" t="s">
        <v>27</v>
      </c>
      <c r="E7" s="59" t="s">
        <v>23</v>
      </c>
      <c r="F7" s="62" t="s">
        <v>51</v>
      </c>
      <c r="G7" s="58"/>
      <c r="H7" s="57"/>
      <c r="I7" s="59" t="s">
        <v>27</v>
      </c>
      <c r="J7" s="59" t="s">
        <v>23</v>
      </c>
      <c r="K7" s="62" t="s">
        <v>51</v>
      </c>
      <c r="L7" s="58"/>
      <c r="M7" s="57"/>
      <c r="N7" s="59" t="s">
        <v>27</v>
      </c>
      <c r="O7" s="59" t="s">
        <v>23</v>
      </c>
      <c r="P7" s="62" t="s">
        <v>51</v>
      </c>
      <c r="Q7" s="144"/>
      <c r="R7" s="144"/>
      <c r="S7" s="144"/>
    </row>
    <row r="8" spans="1:19" ht="12">
      <c r="A8" s="63"/>
      <c r="B8" s="64"/>
      <c r="C8" s="64"/>
      <c r="D8" s="66" t="s">
        <v>28</v>
      </c>
      <c r="E8" s="65" t="s">
        <v>49</v>
      </c>
      <c r="F8" s="67" t="s">
        <v>24</v>
      </c>
      <c r="G8" s="64"/>
      <c r="H8" s="68"/>
      <c r="I8" s="66" t="s">
        <v>28</v>
      </c>
      <c r="J8" s="65" t="s">
        <v>49</v>
      </c>
      <c r="K8" s="67" t="s">
        <v>24</v>
      </c>
      <c r="L8" s="64"/>
      <c r="M8" s="68"/>
      <c r="N8" s="66" t="s">
        <v>28</v>
      </c>
      <c r="O8" s="65" t="s">
        <v>49</v>
      </c>
      <c r="P8" s="67" t="s">
        <v>24</v>
      </c>
      <c r="Q8" s="144"/>
      <c r="R8" s="144"/>
      <c r="S8" s="144"/>
    </row>
    <row r="9" spans="1:19" ht="12">
      <c r="A9" s="69" t="s">
        <v>9</v>
      </c>
      <c r="B9" s="75">
        <v>18</v>
      </c>
      <c r="C9" s="99">
        <f>72+75+75+75+100+50</f>
        <v>447</v>
      </c>
      <c r="D9" s="164">
        <v>13</v>
      </c>
      <c r="E9" s="164">
        <f>8+7+15+9+9+8</f>
        <v>56</v>
      </c>
      <c r="F9" s="74">
        <f>+C9/B9</f>
        <v>24.833333333333332</v>
      </c>
      <c r="G9" s="75"/>
      <c r="H9" s="165"/>
      <c r="I9" s="80"/>
      <c r="J9" s="80"/>
      <c r="K9" s="166"/>
      <c r="L9" s="75">
        <f aca="true" t="shared" si="0" ref="L9:L34">+B9+G9</f>
        <v>18</v>
      </c>
      <c r="M9" s="75">
        <f aca="true" t="shared" si="1" ref="M9:M34">+C9+H9</f>
        <v>447</v>
      </c>
      <c r="N9" s="80">
        <v>13</v>
      </c>
      <c r="O9" s="80">
        <f aca="true" t="shared" si="2" ref="O9:O34">+E9+J9</f>
        <v>56</v>
      </c>
      <c r="P9" s="74">
        <f>+M9/L9</f>
        <v>24.833333333333332</v>
      </c>
      <c r="Q9" s="144"/>
      <c r="R9" s="144"/>
      <c r="S9" s="144"/>
    </row>
    <row r="10" spans="1:19" ht="12">
      <c r="A10" s="69" t="s">
        <v>10</v>
      </c>
      <c r="B10" s="75">
        <f>+B11+B12+B13</f>
        <v>38</v>
      </c>
      <c r="C10" s="99">
        <f>+C11+C12+C13</f>
        <v>942</v>
      </c>
      <c r="D10" s="76">
        <f>+D11+D12+D13</f>
        <v>19</v>
      </c>
      <c r="E10" s="76">
        <f>+E11+E12+E13</f>
        <v>178</v>
      </c>
      <c r="F10" s="74">
        <f>+C10/B10</f>
        <v>24.789473684210527</v>
      </c>
      <c r="G10" s="75">
        <f>SUM(G11:G13)</f>
        <v>9</v>
      </c>
      <c r="H10" s="75">
        <f>SUM(H11:H13)</f>
        <v>226</v>
      </c>
      <c r="I10" s="80">
        <f>SUM(I11:I13)</f>
        <v>2</v>
      </c>
      <c r="J10" s="80">
        <f>SUM(J11:J13)</f>
        <v>61</v>
      </c>
      <c r="K10" s="166">
        <f aca="true" t="shared" si="3" ref="K10:K34">+H10/G10</f>
        <v>25.11111111111111</v>
      </c>
      <c r="L10" s="75">
        <f t="shared" si="0"/>
        <v>47</v>
      </c>
      <c r="M10" s="75">
        <f t="shared" si="1"/>
        <v>1168</v>
      </c>
      <c r="N10" s="80">
        <v>21</v>
      </c>
      <c r="O10" s="80">
        <f t="shared" si="2"/>
        <v>239</v>
      </c>
      <c r="P10" s="74">
        <f aca="true" t="shared" si="4" ref="P10:P34">+M10/L10</f>
        <v>24.851063829787233</v>
      </c>
      <c r="Q10" s="144"/>
      <c r="R10" s="144"/>
      <c r="S10" s="144"/>
    </row>
    <row r="11" spans="1:19" ht="12">
      <c r="A11" s="77" t="s">
        <v>29</v>
      </c>
      <c r="B11" s="123">
        <v>19</v>
      </c>
      <c r="C11" s="165">
        <f>90+74+74+72+75+74</f>
        <v>459</v>
      </c>
      <c r="D11" s="152">
        <v>12</v>
      </c>
      <c r="E11" s="152">
        <f>20+10+22+20+30+8</f>
        <v>110</v>
      </c>
      <c r="F11" s="79">
        <f aca="true" t="shared" si="5" ref="F11:F34">+C11/B11</f>
        <v>24.157894736842106</v>
      </c>
      <c r="G11" s="123">
        <v>5</v>
      </c>
      <c r="H11" s="165">
        <f>53+63</f>
        <v>116</v>
      </c>
      <c r="I11" s="153">
        <v>1</v>
      </c>
      <c r="J11" s="153">
        <f>11+21</f>
        <v>32</v>
      </c>
      <c r="K11" s="162">
        <f t="shared" si="3"/>
        <v>23.2</v>
      </c>
      <c r="L11" s="123">
        <f t="shared" si="0"/>
        <v>24</v>
      </c>
      <c r="M11" s="123">
        <f t="shared" si="1"/>
        <v>575</v>
      </c>
      <c r="N11" s="153">
        <v>13</v>
      </c>
      <c r="O11" s="153">
        <f t="shared" si="2"/>
        <v>142</v>
      </c>
      <c r="P11" s="79">
        <f t="shared" si="4"/>
        <v>23.958333333333332</v>
      </c>
      <c r="Q11" s="144"/>
      <c r="R11" s="144"/>
      <c r="S11" s="144"/>
    </row>
    <row r="12" spans="1:19" ht="12">
      <c r="A12" s="77" t="s">
        <v>30</v>
      </c>
      <c r="B12" s="123">
        <v>10</v>
      </c>
      <c r="C12" s="165">
        <f>105+78+76</f>
        <v>259</v>
      </c>
      <c r="D12" s="152">
        <v>4</v>
      </c>
      <c r="E12" s="152">
        <f>8+15+5</f>
        <v>28</v>
      </c>
      <c r="F12" s="79">
        <f t="shared" si="5"/>
        <v>25.9</v>
      </c>
      <c r="G12" s="123">
        <v>4</v>
      </c>
      <c r="H12" s="165">
        <f>56+54</f>
        <v>110</v>
      </c>
      <c r="I12" s="153">
        <v>1</v>
      </c>
      <c r="J12" s="153">
        <f>15+14</f>
        <v>29</v>
      </c>
      <c r="K12" s="162">
        <f t="shared" si="3"/>
        <v>27.5</v>
      </c>
      <c r="L12" s="123">
        <f t="shared" si="0"/>
        <v>14</v>
      </c>
      <c r="M12" s="123">
        <f t="shared" si="1"/>
        <v>369</v>
      </c>
      <c r="N12" s="153">
        <v>5</v>
      </c>
      <c r="O12" s="153">
        <f t="shared" si="2"/>
        <v>57</v>
      </c>
      <c r="P12" s="79">
        <f t="shared" si="4"/>
        <v>26.357142857142858</v>
      </c>
      <c r="Q12" s="144"/>
      <c r="R12" s="144"/>
      <c r="S12" s="144"/>
    </row>
    <row r="13" spans="1:19" ht="12">
      <c r="A13" s="77" t="s">
        <v>31</v>
      </c>
      <c r="B13" s="123">
        <v>9</v>
      </c>
      <c r="C13" s="165">
        <f>56+93+75</f>
        <v>224</v>
      </c>
      <c r="D13" s="152">
        <v>3</v>
      </c>
      <c r="E13" s="152">
        <f>14+12+14</f>
        <v>40</v>
      </c>
      <c r="F13" s="79">
        <f t="shared" si="5"/>
        <v>24.88888888888889</v>
      </c>
      <c r="G13" s="123"/>
      <c r="H13" s="165"/>
      <c r="I13" s="153"/>
      <c r="J13" s="153"/>
      <c r="K13" s="166"/>
      <c r="L13" s="123">
        <f t="shared" si="0"/>
        <v>9</v>
      </c>
      <c r="M13" s="123">
        <f t="shared" si="1"/>
        <v>224</v>
      </c>
      <c r="N13" s="153">
        <v>3</v>
      </c>
      <c r="O13" s="153">
        <f t="shared" si="2"/>
        <v>40</v>
      </c>
      <c r="P13" s="79">
        <f t="shared" si="4"/>
        <v>24.88888888888889</v>
      </c>
      <c r="Q13" s="144"/>
      <c r="R13" s="144"/>
      <c r="S13" s="144"/>
    </row>
    <row r="14" spans="1:19" ht="12">
      <c r="A14" s="69" t="s">
        <v>11</v>
      </c>
      <c r="B14" s="75">
        <f>SUM(B15:B16)</f>
        <v>17</v>
      </c>
      <c r="C14" s="99">
        <f>+C15+C16</f>
        <v>419</v>
      </c>
      <c r="D14" s="76">
        <f>+D15+D16</f>
        <v>7</v>
      </c>
      <c r="E14" s="76">
        <f>+E15+E16</f>
        <v>34</v>
      </c>
      <c r="F14" s="74">
        <f t="shared" si="5"/>
        <v>24.647058823529413</v>
      </c>
      <c r="G14" s="75">
        <f>SUM(G15:G16)</f>
        <v>3</v>
      </c>
      <c r="H14" s="75">
        <f>SUM(H15:H16)</f>
        <v>75</v>
      </c>
      <c r="I14" s="80">
        <f>SUM(I15:I16)</f>
        <v>1</v>
      </c>
      <c r="J14" s="80">
        <f>SUM(J15:J16)</f>
        <v>16</v>
      </c>
      <c r="K14" s="166">
        <f t="shared" si="3"/>
        <v>25</v>
      </c>
      <c r="L14" s="75">
        <f t="shared" si="0"/>
        <v>20</v>
      </c>
      <c r="M14" s="75">
        <f t="shared" si="1"/>
        <v>494</v>
      </c>
      <c r="N14" s="80">
        <v>8</v>
      </c>
      <c r="O14" s="80">
        <f t="shared" si="2"/>
        <v>50</v>
      </c>
      <c r="P14" s="74">
        <f t="shared" si="4"/>
        <v>24.7</v>
      </c>
      <c r="Q14" s="144"/>
      <c r="R14" s="144"/>
      <c r="S14" s="144"/>
    </row>
    <row r="15" spans="1:19" ht="12">
      <c r="A15" s="77" t="s">
        <v>32</v>
      </c>
      <c r="B15" s="123">
        <v>5</v>
      </c>
      <c r="C15" s="165">
        <f>72+53</f>
        <v>125</v>
      </c>
      <c r="D15" s="152">
        <v>3</v>
      </c>
      <c r="E15" s="152">
        <v>8</v>
      </c>
      <c r="F15" s="79">
        <f t="shared" si="5"/>
        <v>25</v>
      </c>
      <c r="G15" s="123">
        <v>3</v>
      </c>
      <c r="H15" s="165">
        <v>75</v>
      </c>
      <c r="I15" s="153">
        <v>1</v>
      </c>
      <c r="J15" s="153">
        <v>16</v>
      </c>
      <c r="K15" s="162">
        <f t="shared" si="3"/>
        <v>25</v>
      </c>
      <c r="L15" s="123">
        <f t="shared" si="0"/>
        <v>8</v>
      </c>
      <c r="M15" s="123">
        <f t="shared" si="1"/>
        <v>200</v>
      </c>
      <c r="N15" s="153">
        <v>4</v>
      </c>
      <c r="O15" s="153">
        <f t="shared" si="2"/>
        <v>24</v>
      </c>
      <c r="P15" s="79">
        <f t="shared" si="4"/>
        <v>25</v>
      </c>
      <c r="Q15" s="144"/>
      <c r="R15" s="144"/>
      <c r="S15" s="144"/>
    </row>
    <row r="16" spans="1:19" ht="12">
      <c r="A16" s="77" t="s">
        <v>33</v>
      </c>
      <c r="B16" s="123">
        <v>12</v>
      </c>
      <c r="C16" s="165">
        <f>74+73+74+73</f>
        <v>294</v>
      </c>
      <c r="D16" s="152">
        <v>4</v>
      </c>
      <c r="E16" s="152">
        <v>26</v>
      </c>
      <c r="F16" s="79">
        <f t="shared" si="5"/>
        <v>24.5</v>
      </c>
      <c r="G16" s="123"/>
      <c r="H16" s="165"/>
      <c r="I16" s="153"/>
      <c r="J16" s="153"/>
      <c r="K16" s="166"/>
      <c r="L16" s="123">
        <f t="shared" si="0"/>
        <v>12</v>
      </c>
      <c r="M16" s="123">
        <f t="shared" si="1"/>
        <v>294</v>
      </c>
      <c r="N16" s="153">
        <v>4</v>
      </c>
      <c r="O16" s="153">
        <f t="shared" si="2"/>
        <v>26</v>
      </c>
      <c r="P16" s="79">
        <f t="shared" si="4"/>
        <v>24.5</v>
      </c>
      <c r="Q16" s="144"/>
      <c r="R16" s="144"/>
      <c r="S16" s="144"/>
    </row>
    <row r="17" spans="1:19" ht="12">
      <c r="A17" s="69" t="s">
        <v>12</v>
      </c>
      <c r="B17" s="75">
        <f>SUM(B18:B19)</f>
        <v>22</v>
      </c>
      <c r="C17" s="99">
        <f>+C18+C19</f>
        <v>547</v>
      </c>
      <c r="D17" s="76">
        <f>+D18+D19</f>
        <v>11</v>
      </c>
      <c r="E17" s="76">
        <f>+E18+E19</f>
        <v>69</v>
      </c>
      <c r="F17" s="74">
        <f t="shared" si="5"/>
        <v>24.863636363636363</v>
      </c>
      <c r="G17" s="75">
        <f>SUM(G18:G19)</f>
        <v>2</v>
      </c>
      <c r="H17" s="75">
        <f>SUM(H18:H19)</f>
        <v>50</v>
      </c>
      <c r="I17" s="80">
        <f>SUM(I18:I19)</f>
        <v>1</v>
      </c>
      <c r="J17" s="80">
        <f>SUM(J18:J19)</f>
        <v>26</v>
      </c>
      <c r="K17" s="166">
        <f t="shared" si="3"/>
        <v>25</v>
      </c>
      <c r="L17" s="75">
        <f t="shared" si="0"/>
        <v>24</v>
      </c>
      <c r="M17" s="75">
        <f t="shared" si="1"/>
        <v>597</v>
      </c>
      <c r="N17" s="80">
        <v>12</v>
      </c>
      <c r="O17" s="80">
        <f t="shared" si="2"/>
        <v>95</v>
      </c>
      <c r="P17" s="74">
        <f t="shared" si="4"/>
        <v>24.875</v>
      </c>
      <c r="Q17" s="144"/>
      <c r="R17" s="144"/>
      <c r="S17" s="144"/>
    </row>
    <row r="18" spans="1:19" ht="12">
      <c r="A18" s="77" t="s">
        <v>34</v>
      </c>
      <c r="B18" s="123">
        <v>12</v>
      </c>
      <c r="C18" s="165">
        <f>75+75+75+75</f>
        <v>300</v>
      </c>
      <c r="D18" s="152">
        <v>8</v>
      </c>
      <c r="E18" s="152">
        <v>39</v>
      </c>
      <c r="F18" s="79">
        <f t="shared" si="5"/>
        <v>25</v>
      </c>
      <c r="G18" s="123">
        <v>2</v>
      </c>
      <c r="H18" s="165">
        <v>50</v>
      </c>
      <c r="I18" s="153">
        <v>1</v>
      </c>
      <c r="J18" s="153">
        <v>26</v>
      </c>
      <c r="K18" s="162">
        <f t="shared" si="3"/>
        <v>25</v>
      </c>
      <c r="L18" s="123">
        <f t="shared" si="0"/>
        <v>14</v>
      </c>
      <c r="M18" s="123">
        <f t="shared" si="1"/>
        <v>350</v>
      </c>
      <c r="N18" s="153">
        <v>9</v>
      </c>
      <c r="O18" s="153">
        <f t="shared" si="2"/>
        <v>65</v>
      </c>
      <c r="P18" s="79">
        <f t="shared" si="4"/>
        <v>25</v>
      </c>
      <c r="Q18" s="144"/>
      <c r="R18" s="144"/>
      <c r="S18" s="144"/>
    </row>
    <row r="19" spans="1:19" ht="12">
      <c r="A19" s="77" t="s">
        <v>35</v>
      </c>
      <c r="B19" s="123">
        <v>10</v>
      </c>
      <c r="C19" s="165">
        <f>50+99+98</f>
        <v>247</v>
      </c>
      <c r="D19" s="152">
        <v>3</v>
      </c>
      <c r="E19" s="152">
        <v>30</v>
      </c>
      <c r="F19" s="79">
        <f t="shared" si="5"/>
        <v>24.7</v>
      </c>
      <c r="G19" s="123"/>
      <c r="H19" s="165"/>
      <c r="I19" s="153"/>
      <c r="J19" s="153"/>
      <c r="K19" s="166"/>
      <c r="L19" s="123">
        <f t="shared" si="0"/>
        <v>10</v>
      </c>
      <c r="M19" s="123">
        <f t="shared" si="1"/>
        <v>247</v>
      </c>
      <c r="N19" s="153">
        <v>3</v>
      </c>
      <c r="O19" s="153">
        <f t="shared" si="2"/>
        <v>30</v>
      </c>
      <c r="P19" s="79">
        <f t="shared" si="4"/>
        <v>24.7</v>
      </c>
      <c r="Q19" s="144"/>
      <c r="R19" s="144"/>
      <c r="S19" s="144"/>
    </row>
    <row r="20" spans="1:19" ht="12">
      <c r="A20" s="69" t="s">
        <v>36</v>
      </c>
      <c r="B20" s="75">
        <v>15</v>
      </c>
      <c r="C20" s="99">
        <f>74+72+150+70</f>
        <v>366</v>
      </c>
      <c r="D20" s="164">
        <v>6</v>
      </c>
      <c r="E20" s="164">
        <f>14+12+10+27</f>
        <v>63</v>
      </c>
      <c r="F20" s="74">
        <f t="shared" si="5"/>
        <v>24.4</v>
      </c>
      <c r="G20" s="167">
        <v>11</v>
      </c>
      <c r="H20" s="99">
        <f>43+95+66+47</f>
        <v>251</v>
      </c>
      <c r="I20" s="168">
        <v>3</v>
      </c>
      <c r="J20" s="168">
        <f>8+6+21+9</f>
        <v>44</v>
      </c>
      <c r="K20" s="166">
        <f t="shared" si="3"/>
        <v>22.818181818181817</v>
      </c>
      <c r="L20" s="75">
        <f t="shared" si="0"/>
        <v>26</v>
      </c>
      <c r="M20" s="75">
        <f t="shared" si="1"/>
        <v>617</v>
      </c>
      <c r="N20" s="80">
        <v>9</v>
      </c>
      <c r="O20" s="80">
        <f t="shared" si="2"/>
        <v>107</v>
      </c>
      <c r="P20" s="74">
        <f t="shared" si="4"/>
        <v>23.73076923076923</v>
      </c>
      <c r="Q20" s="144"/>
      <c r="R20" s="144"/>
      <c r="S20" s="144"/>
    </row>
    <row r="21" spans="1:19" ht="12">
      <c r="A21" s="69" t="s">
        <v>37</v>
      </c>
      <c r="B21" s="81">
        <f>SUM(B22:B24)</f>
        <v>30</v>
      </c>
      <c r="C21" s="99">
        <f>+C22+C23+C24</f>
        <v>732</v>
      </c>
      <c r="D21" s="76">
        <f>+D22+D23+D24</f>
        <v>14</v>
      </c>
      <c r="E21" s="76">
        <f>+E22+E23+E24</f>
        <v>74</v>
      </c>
      <c r="F21" s="74">
        <f t="shared" si="5"/>
        <v>24.4</v>
      </c>
      <c r="G21" s="75">
        <f>SUM(G22:G24)</f>
        <v>5</v>
      </c>
      <c r="H21" s="75">
        <f>SUM(H22:H24)</f>
        <v>120</v>
      </c>
      <c r="I21" s="80">
        <f>SUM(I22:I24)</f>
        <v>1</v>
      </c>
      <c r="J21" s="80">
        <f>SUM(J22:J24)</f>
        <v>15</v>
      </c>
      <c r="K21" s="166">
        <f t="shared" si="3"/>
        <v>24</v>
      </c>
      <c r="L21" s="75">
        <f t="shared" si="0"/>
        <v>35</v>
      </c>
      <c r="M21" s="75">
        <f t="shared" si="1"/>
        <v>852</v>
      </c>
      <c r="N21" s="80">
        <v>15</v>
      </c>
      <c r="O21" s="80">
        <f t="shared" si="2"/>
        <v>89</v>
      </c>
      <c r="P21" s="74">
        <f t="shared" si="4"/>
        <v>24.34285714285714</v>
      </c>
      <c r="Q21" s="144"/>
      <c r="R21" s="144"/>
      <c r="S21" s="144"/>
    </row>
    <row r="22" spans="1:19" ht="12">
      <c r="A22" s="77" t="s">
        <v>38</v>
      </c>
      <c r="B22" s="146">
        <v>7</v>
      </c>
      <c r="C22" s="165">
        <f>50+70+50</f>
        <v>170</v>
      </c>
      <c r="D22" s="152">
        <v>2</v>
      </c>
      <c r="E22" s="152">
        <v>12</v>
      </c>
      <c r="F22" s="79">
        <f t="shared" si="5"/>
        <v>24.285714285714285</v>
      </c>
      <c r="G22" s="123"/>
      <c r="H22" s="165"/>
      <c r="I22" s="153"/>
      <c r="J22" s="153"/>
      <c r="K22" s="166"/>
      <c r="L22" s="123">
        <f t="shared" si="0"/>
        <v>7</v>
      </c>
      <c r="M22" s="123">
        <f t="shared" si="1"/>
        <v>170</v>
      </c>
      <c r="N22" s="153">
        <v>2</v>
      </c>
      <c r="O22" s="153">
        <f t="shared" si="2"/>
        <v>12</v>
      </c>
      <c r="P22" s="79">
        <f t="shared" si="4"/>
        <v>24.285714285714285</v>
      </c>
      <c r="Q22" s="144"/>
      <c r="R22" s="144"/>
      <c r="S22" s="144"/>
    </row>
    <row r="23" spans="1:19" ht="12">
      <c r="A23" s="77" t="s">
        <v>39</v>
      </c>
      <c r="B23" s="146">
        <v>8</v>
      </c>
      <c r="C23" s="165">
        <f>75+75+50</f>
        <v>200</v>
      </c>
      <c r="D23" s="152">
        <v>4</v>
      </c>
      <c r="E23" s="152">
        <v>28</v>
      </c>
      <c r="F23" s="79">
        <f t="shared" si="5"/>
        <v>25</v>
      </c>
      <c r="G23" s="123"/>
      <c r="H23" s="165"/>
      <c r="I23" s="153"/>
      <c r="J23" s="153"/>
      <c r="K23" s="166"/>
      <c r="L23" s="123">
        <f t="shared" si="0"/>
        <v>8</v>
      </c>
      <c r="M23" s="123">
        <f t="shared" si="1"/>
        <v>200</v>
      </c>
      <c r="N23" s="153">
        <v>4</v>
      </c>
      <c r="O23" s="153">
        <f t="shared" si="2"/>
        <v>28</v>
      </c>
      <c r="P23" s="79">
        <f t="shared" si="4"/>
        <v>25</v>
      </c>
      <c r="Q23" s="144"/>
      <c r="R23" s="144"/>
      <c r="S23" s="144"/>
    </row>
    <row r="24" spans="1:19" ht="12">
      <c r="A24" s="77" t="s">
        <v>40</v>
      </c>
      <c r="B24" s="146">
        <v>15</v>
      </c>
      <c r="C24" s="165">
        <f>49+50+21+74+75+93</f>
        <v>362</v>
      </c>
      <c r="D24" s="152">
        <v>8</v>
      </c>
      <c r="E24" s="152">
        <v>34</v>
      </c>
      <c r="F24" s="79">
        <f t="shared" si="5"/>
        <v>24.133333333333333</v>
      </c>
      <c r="G24" s="123">
        <v>5</v>
      </c>
      <c r="H24" s="165">
        <f>70+50</f>
        <v>120</v>
      </c>
      <c r="I24" s="153">
        <v>1</v>
      </c>
      <c r="J24" s="153">
        <v>15</v>
      </c>
      <c r="K24" s="162">
        <f t="shared" si="3"/>
        <v>24</v>
      </c>
      <c r="L24" s="123">
        <f t="shared" si="0"/>
        <v>20</v>
      </c>
      <c r="M24" s="123">
        <f t="shared" si="1"/>
        <v>482</v>
      </c>
      <c r="N24" s="153">
        <v>9</v>
      </c>
      <c r="O24" s="153">
        <f t="shared" si="2"/>
        <v>49</v>
      </c>
      <c r="P24" s="79">
        <f t="shared" si="4"/>
        <v>24.1</v>
      </c>
      <c r="Q24" s="144"/>
      <c r="R24" s="144"/>
      <c r="S24" s="144"/>
    </row>
    <row r="25" spans="1:19" ht="12">
      <c r="A25" s="69" t="s">
        <v>41</v>
      </c>
      <c r="B25" s="75">
        <f>SUM(B26:B27)</f>
        <v>20</v>
      </c>
      <c r="C25" s="99">
        <f>+C26+C27</f>
        <v>509</v>
      </c>
      <c r="D25" s="76">
        <f>+D26+D27</f>
        <v>11</v>
      </c>
      <c r="E25" s="76">
        <f>+E26+E27</f>
        <v>44</v>
      </c>
      <c r="F25" s="74">
        <f t="shared" si="5"/>
        <v>25.45</v>
      </c>
      <c r="G25" s="75">
        <f>SUM(G26:G27)</f>
        <v>11</v>
      </c>
      <c r="H25" s="75">
        <f>SUM(H26:H27)</f>
        <v>261</v>
      </c>
      <c r="I25" s="80">
        <f>SUM(I26:I27)</f>
        <v>3</v>
      </c>
      <c r="J25" s="80">
        <f>SUM(J26:J27)</f>
        <v>62</v>
      </c>
      <c r="K25" s="166">
        <f t="shared" si="3"/>
        <v>23.727272727272727</v>
      </c>
      <c r="L25" s="75">
        <f t="shared" si="0"/>
        <v>31</v>
      </c>
      <c r="M25" s="75">
        <f t="shared" si="1"/>
        <v>770</v>
      </c>
      <c r="N25" s="80">
        <v>14</v>
      </c>
      <c r="O25" s="80">
        <f t="shared" si="2"/>
        <v>106</v>
      </c>
      <c r="P25" s="74">
        <f t="shared" si="4"/>
        <v>24.838709677419356</v>
      </c>
      <c r="Q25" s="144"/>
      <c r="R25" s="144"/>
      <c r="S25" s="144"/>
    </row>
    <row r="26" spans="1:19" ht="12">
      <c r="A26" s="77" t="s">
        <v>42</v>
      </c>
      <c r="B26" s="123">
        <v>10</v>
      </c>
      <c r="C26" s="165">
        <f>75+100+75</f>
        <v>250</v>
      </c>
      <c r="D26" s="152">
        <v>3</v>
      </c>
      <c r="E26" s="152">
        <v>28</v>
      </c>
      <c r="F26" s="79">
        <f t="shared" si="5"/>
        <v>25</v>
      </c>
      <c r="G26" s="123"/>
      <c r="H26" s="165"/>
      <c r="I26" s="153"/>
      <c r="J26" s="153"/>
      <c r="K26" s="166"/>
      <c r="L26" s="123">
        <f t="shared" si="0"/>
        <v>10</v>
      </c>
      <c r="M26" s="123">
        <f t="shared" si="1"/>
        <v>250</v>
      </c>
      <c r="N26" s="153">
        <v>3</v>
      </c>
      <c r="O26" s="153">
        <f t="shared" si="2"/>
        <v>28</v>
      </c>
      <c r="P26" s="79">
        <f t="shared" si="4"/>
        <v>25</v>
      </c>
      <c r="Q26" s="144"/>
      <c r="R26" s="144"/>
      <c r="S26" s="144"/>
    </row>
    <row r="27" spans="1:19" ht="12">
      <c r="A27" s="77" t="s">
        <v>43</v>
      </c>
      <c r="B27" s="123">
        <v>10</v>
      </c>
      <c r="C27" s="165">
        <f>78+50+56+75</f>
        <v>259</v>
      </c>
      <c r="D27" s="152">
        <v>8</v>
      </c>
      <c r="E27" s="152">
        <v>16</v>
      </c>
      <c r="F27" s="79">
        <f t="shared" si="5"/>
        <v>25.9</v>
      </c>
      <c r="G27" s="123">
        <v>11</v>
      </c>
      <c r="H27" s="165">
        <f>67+50+69+75</f>
        <v>261</v>
      </c>
      <c r="I27" s="153">
        <v>3</v>
      </c>
      <c r="J27" s="153">
        <v>62</v>
      </c>
      <c r="K27" s="162">
        <f t="shared" si="3"/>
        <v>23.727272727272727</v>
      </c>
      <c r="L27" s="123">
        <f t="shared" si="0"/>
        <v>21</v>
      </c>
      <c r="M27" s="123">
        <f t="shared" si="1"/>
        <v>520</v>
      </c>
      <c r="N27" s="153">
        <v>11</v>
      </c>
      <c r="O27" s="153">
        <f t="shared" si="2"/>
        <v>78</v>
      </c>
      <c r="P27" s="79">
        <f t="shared" si="4"/>
        <v>24.761904761904763</v>
      </c>
      <c r="Q27" s="144"/>
      <c r="R27" s="144"/>
      <c r="S27" s="144"/>
    </row>
    <row r="28" spans="1:19" ht="12">
      <c r="A28" s="69" t="s">
        <v>16</v>
      </c>
      <c r="B28" s="75">
        <f>SUM(B29:B30)</f>
        <v>22</v>
      </c>
      <c r="C28" s="99">
        <f>+C29+C30</f>
        <v>548</v>
      </c>
      <c r="D28" s="76">
        <f>+D29+D30</f>
        <v>5</v>
      </c>
      <c r="E28" s="76">
        <f>+E29+E30</f>
        <v>51</v>
      </c>
      <c r="F28" s="74">
        <f t="shared" si="5"/>
        <v>24.90909090909091</v>
      </c>
      <c r="G28" s="75">
        <f>SUM(G29:G30)</f>
        <v>2</v>
      </c>
      <c r="H28" s="75">
        <f>SUM(H29:H30)</f>
        <v>45</v>
      </c>
      <c r="I28" s="80">
        <f>SUM(I29:I30)</f>
        <v>2</v>
      </c>
      <c r="J28" s="80">
        <f>SUM(J29:J30)</f>
        <v>17</v>
      </c>
      <c r="K28" s="166">
        <f t="shared" si="3"/>
        <v>22.5</v>
      </c>
      <c r="L28" s="75">
        <f t="shared" si="0"/>
        <v>24</v>
      </c>
      <c r="M28" s="75">
        <f t="shared" si="1"/>
        <v>593</v>
      </c>
      <c r="N28" s="80">
        <v>7</v>
      </c>
      <c r="O28" s="80">
        <f t="shared" si="2"/>
        <v>68</v>
      </c>
      <c r="P28" s="74">
        <f t="shared" si="4"/>
        <v>24.708333333333332</v>
      </c>
      <c r="Q28" s="144"/>
      <c r="R28" s="144"/>
      <c r="S28" s="144"/>
    </row>
    <row r="29" spans="1:19" ht="12">
      <c r="A29" s="77" t="s">
        <v>44</v>
      </c>
      <c r="B29" s="123">
        <v>18</v>
      </c>
      <c r="C29" s="165">
        <f>99+75+50+75+74+75</f>
        <v>448</v>
      </c>
      <c r="D29" s="152">
        <v>3</v>
      </c>
      <c r="E29" s="152">
        <v>32</v>
      </c>
      <c r="F29" s="79">
        <f t="shared" si="5"/>
        <v>24.88888888888889</v>
      </c>
      <c r="G29" s="123"/>
      <c r="H29" s="165"/>
      <c r="I29" s="153"/>
      <c r="J29" s="153"/>
      <c r="K29" s="166"/>
      <c r="L29" s="123">
        <f t="shared" si="0"/>
        <v>18</v>
      </c>
      <c r="M29" s="123">
        <f t="shared" si="1"/>
        <v>448</v>
      </c>
      <c r="N29" s="153">
        <v>3</v>
      </c>
      <c r="O29" s="153">
        <f t="shared" si="2"/>
        <v>32</v>
      </c>
      <c r="P29" s="79">
        <f t="shared" si="4"/>
        <v>24.88888888888889</v>
      </c>
      <c r="Q29" s="144"/>
      <c r="R29" s="144"/>
      <c r="S29" s="144"/>
    </row>
    <row r="30" spans="1:19" ht="12">
      <c r="A30" s="77" t="s">
        <v>45</v>
      </c>
      <c r="B30" s="123">
        <v>4</v>
      </c>
      <c r="C30" s="165">
        <f>50+50</f>
        <v>100</v>
      </c>
      <c r="D30" s="152">
        <v>2</v>
      </c>
      <c r="E30" s="152">
        <v>19</v>
      </c>
      <c r="F30" s="79">
        <f t="shared" si="5"/>
        <v>25</v>
      </c>
      <c r="G30" s="123">
        <v>2</v>
      </c>
      <c r="H30" s="165">
        <v>45</v>
      </c>
      <c r="I30" s="153">
        <v>2</v>
      </c>
      <c r="J30" s="153">
        <v>17</v>
      </c>
      <c r="K30" s="162">
        <f t="shared" si="3"/>
        <v>22.5</v>
      </c>
      <c r="L30" s="123">
        <f t="shared" si="0"/>
        <v>6</v>
      </c>
      <c r="M30" s="123">
        <f t="shared" si="1"/>
        <v>145</v>
      </c>
      <c r="N30" s="153">
        <v>4</v>
      </c>
      <c r="O30" s="153">
        <f t="shared" si="2"/>
        <v>36</v>
      </c>
      <c r="P30" s="79">
        <f t="shared" si="4"/>
        <v>24.166666666666668</v>
      </c>
      <c r="Q30" s="144"/>
      <c r="R30" s="144"/>
      <c r="S30" s="144"/>
    </row>
    <row r="31" spans="1:19" ht="12">
      <c r="A31" s="69" t="s">
        <v>17</v>
      </c>
      <c r="B31" s="75">
        <f>SUM(B32:B33)</f>
        <v>22</v>
      </c>
      <c r="C31" s="99">
        <f>+C32+C33</f>
        <v>549</v>
      </c>
      <c r="D31" s="76">
        <f>+D32+D33</f>
        <v>17</v>
      </c>
      <c r="E31" s="76">
        <f>+E32+E33</f>
        <v>41</v>
      </c>
      <c r="F31" s="74">
        <f t="shared" si="5"/>
        <v>24.954545454545453</v>
      </c>
      <c r="G31" s="75">
        <f>SUM(G32:G33)</f>
        <v>14</v>
      </c>
      <c r="H31" s="75">
        <f>SUM(H32:H33)</f>
        <v>345</v>
      </c>
      <c r="I31" s="80">
        <f>SUM(I32:I33)</f>
        <v>3</v>
      </c>
      <c r="J31" s="80">
        <f>SUM(J32:J33)</f>
        <v>51</v>
      </c>
      <c r="K31" s="166">
        <f t="shared" si="3"/>
        <v>24.642857142857142</v>
      </c>
      <c r="L31" s="75">
        <f t="shared" si="0"/>
        <v>36</v>
      </c>
      <c r="M31" s="75">
        <f t="shared" si="1"/>
        <v>894</v>
      </c>
      <c r="N31" s="80">
        <v>20</v>
      </c>
      <c r="O31" s="80">
        <f t="shared" si="2"/>
        <v>92</v>
      </c>
      <c r="P31" s="74">
        <f t="shared" si="4"/>
        <v>24.833333333333332</v>
      </c>
      <c r="Q31" s="144"/>
      <c r="R31" s="144"/>
      <c r="S31" s="144"/>
    </row>
    <row r="32" spans="1:19" ht="12">
      <c r="A32" s="86" t="s">
        <v>46</v>
      </c>
      <c r="B32" s="123">
        <v>12</v>
      </c>
      <c r="C32" s="165">
        <f>75+74+75+75</f>
        <v>299</v>
      </c>
      <c r="D32" s="152">
        <v>10</v>
      </c>
      <c r="E32" s="152">
        <v>13</v>
      </c>
      <c r="F32" s="79">
        <f t="shared" si="5"/>
        <v>24.916666666666668</v>
      </c>
      <c r="G32" s="123">
        <v>11</v>
      </c>
      <c r="H32" s="165">
        <f>50+75+70+75</f>
        <v>270</v>
      </c>
      <c r="I32" s="153">
        <v>3</v>
      </c>
      <c r="J32" s="153">
        <f>15+8+6+13</f>
        <v>42</v>
      </c>
      <c r="K32" s="162">
        <f t="shared" si="3"/>
        <v>24.545454545454547</v>
      </c>
      <c r="L32" s="123">
        <f t="shared" si="0"/>
        <v>23</v>
      </c>
      <c r="M32" s="123">
        <f t="shared" si="1"/>
        <v>569</v>
      </c>
      <c r="N32" s="153">
        <v>13</v>
      </c>
      <c r="O32" s="153">
        <f t="shared" si="2"/>
        <v>55</v>
      </c>
      <c r="P32" s="79">
        <f t="shared" si="4"/>
        <v>24.73913043478261</v>
      </c>
      <c r="Q32" s="144"/>
      <c r="R32" s="144"/>
      <c r="S32" s="144"/>
    </row>
    <row r="33" spans="1:19" ht="12">
      <c r="A33" s="86" t="s">
        <v>47</v>
      </c>
      <c r="B33" s="155">
        <v>10</v>
      </c>
      <c r="C33" s="165">
        <f>112+50+88</f>
        <v>250</v>
      </c>
      <c r="D33" s="169">
        <v>7</v>
      </c>
      <c r="E33" s="169">
        <v>28</v>
      </c>
      <c r="F33" s="87">
        <f t="shared" si="5"/>
        <v>25</v>
      </c>
      <c r="G33" s="155">
        <v>3</v>
      </c>
      <c r="H33" s="165">
        <v>75</v>
      </c>
      <c r="I33" s="156"/>
      <c r="J33" s="156">
        <v>9</v>
      </c>
      <c r="K33" s="170">
        <f t="shared" si="3"/>
        <v>25</v>
      </c>
      <c r="L33" s="155">
        <f t="shared" si="0"/>
        <v>13</v>
      </c>
      <c r="M33" s="155">
        <f t="shared" si="1"/>
        <v>325</v>
      </c>
      <c r="N33" s="156">
        <v>7</v>
      </c>
      <c r="O33" s="156">
        <f t="shared" si="2"/>
        <v>37</v>
      </c>
      <c r="P33" s="87">
        <f t="shared" si="4"/>
        <v>25</v>
      </c>
      <c r="Q33" s="144"/>
      <c r="R33" s="144"/>
      <c r="S33" s="144"/>
    </row>
    <row r="34" spans="1:19" ht="12">
      <c r="A34" s="89" t="s">
        <v>48</v>
      </c>
      <c r="B34" s="90">
        <f>+B9+B10+B14+B17+B20+B21+B25+B28+B31</f>
        <v>204</v>
      </c>
      <c r="C34" s="171">
        <f>+C9+C10+C14+C17+C20+C21+C25+C28+C31</f>
        <v>5059</v>
      </c>
      <c r="D34" s="95">
        <f>+D9+D10+D14+D17+D20+D21+D25+D28+D31</f>
        <v>103</v>
      </c>
      <c r="E34" s="95">
        <f>+E9+E10+E14+E17+E20+E21+E25+E28+E31</f>
        <v>610</v>
      </c>
      <c r="F34" s="94">
        <f t="shared" si="5"/>
        <v>24.79901960784314</v>
      </c>
      <c r="G34" s="90">
        <f>+G9+G10+G14+G17+G20+G21+G25+G28+G31</f>
        <v>57</v>
      </c>
      <c r="H34" s="171">
        <f>+H10+H14+H17+H20+H21+H25+H28+H31</f>
        <v>1373</v>
      </c>
      <c r="I34" s="95">
        <f>+I10+I14+I17+I20+I21+I25+I28+I31</f>
        <v>16</v>
      </c>
      <c r="J34" s="95">
        <f>+J10+J14+J17+J20+J21+J25+J28+J31</f>
        <v>292</v>
      </c>
      <c r="K34" s="96">
        <f t="shared" si="3"/>
        <v>24.087719298245613</v>
      </c>
      <c r="L34" s="171">
        <f t="shared" si="0"/>
        <v>261</v>
      </c>
      <c r="M34" s="171">
        <f t="shared" si="1"/>
        <v>6432</v>
      </c>
      <c r="N34" s="93">
        <f>+N9+N10+N14+N17+N21+N20+N25+N28+N31</f>
        <v>119</v>
      </c>
      <c r="O34" s="93">
        <f t="shared" si="2"/>
        <v>902</v>
      </c>
      <c r="P34" s="94">
        <f t="shared" si="4"/>
        <v>24.64367816091954</v>
      </c>
      <c r="Q34" s="144"/>
      <c r="R34" s="144"/>
      <c r="S34" s="144"/>
    </row>
    <row r="35" spans="1:19" ht="12">
      <c r="A35" s="97" t="s">
        <v>50</v>
      </c>
      <c r="B35" s="98"/>
      <c r="C35" s="99"/>
      <c r="D35" s="100"/>
      <c r="E35" s="142"/>
      <c r="F35" s="101"/>
      <c r="G35" s="98"/>
      <c r="H35" s="99"/>
      <c r="I35" s="100"/>
      <c r="J35" s="142"/>
      <c r="K35" s="102"/>
      <c r="L35" s="103"/>
      <c r="M35" s="103"/>
      <c r="N35" s="100"/>
      <c r="O35" s="172"/>
      <c r="P35" s="101"/>
      <c r="Q35" s="144"/>
      <c r="R35" s="144"/>
      <c r="S35" s="144"/>
    </row>
    <row r="36" spans="1:19" ht="12">
      <c r="A36" s="105" t="s">
        <v>54</v>
      </c>
      <c r="B36" s="106"/>
      <c r="C36" s="107"/>
      <c r="D36" s="106"/>
      <c r="E36" s="106"/>
      <c r="F36" s="106"/>
      <c r="G36" s="107"/>
      <c r="H36" s="108"/>
      <c r="I36" s="108"/>
      <c r="J36" s="108"/>
      <c r="K36" s="109"/>
      <c r="L36" s="106"/>
      <c r="M36" s="106"/>
      <c r="N36" s="106"/>
      <c r="O36" s="106"/>
      <c r="P36" s="106"/>
      <c r="Q36" s="144"/>
      <c r="R36" s="144"/>
      <c r="S36" s="144"/>
    </row>
    <row r="37" spans="1:19" ht="12">
      <c r="A37" s="105" t="s">
        <v>26</v>
      </c>
      <c r="B37" s="106"/>
      <c r="C37" s="107"/>
      <c r="D37" s="106"/>
      <c r="E37" s="106"/>
      <c r="F37" s="106"/>
      <c r="G37" s="107"/>
      <c r="H37" s="108"/>
      <c r="I37" s="108"/>
      <c r="J37" s="108"/>
      <c r="K37" s="109"/>
      <c r="L37" s="106"/>
      <c r="M37" s="106"/>
      <c r="N37" s="106"/>
      <c r="O37" s="106"/>
      <c r="P37" s="106"/>
      <c r="Q37" s="144"/>
      <c r="R37" s="144"/>
      <c r="S37" s="144"/>
    </row>
    <row r="38" spans="1:19" ht="12">
      <c r="A38" s="14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44"/>
      <c r="R38" s="144"/>
      <c r="S38" s="144"/>
    </row>
    <row r="39" spans="1:19" ht="12">
      <c r="A39" s="173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44"/>
      <c r="R39" s="144"/>
      <c r="S39" s="144"/>
    </row>
    <row r="40" spans="1:19" ht="1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7">
    <mergeCell ref="C5:F5"/>
    <mergeCell ref="H5:K5"/>
    <mergeCell ref="M5:P5"/>
    <mergeCell ref="B3:P3"/>
    <mergeCell ref="B4:F4"/>
    <mergeCell ref="G4:K4"/>
    <mergeCell ref="L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&amp;R400042.xls</oddHeader>
    <oddFooter>&amp;LComune di Bologna - Dipartimento Programmazione</oddFooter>
  </headerFooter>
  <ignoredErrors>
    <ignoredError sqref="E8:O8 K1" numberStoredAsText="1"/>
    <ignoredError sqref="B10:E16 F10:P16 F9:P9 B19:E34 F19:P33 O34:P34" unlockedFormula="1"/>
    <ignoredError sqref="F17:P18 B17:E18 F34:N34" formulaRange="1" unlockedFormula="1"/>
    <ignoredError sqref="F34:N3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4">
      <selection activeCell="AB28" sqref="AB28"/>
    </sheetView>
  </sheetViews>
  <sheetFormatPr defaultColWidth="10.625" defaultRowHeight="12"/>
  <cols>
    <col min="1" max="1" width="15.25390625" style="21" customWidth="1"/>
    <col min="2" max="2" width="15.25390625" style="21" bestFit="1" customWidth="1"/>
    <col min="3" max="3" width="10.375" style="21" bestFit="1" customWidth="1"/>
    <col min="4" max="6" width="8.125" style="21" customWidth="1"/>
    <col min="7" max="7" width="7.875" style="21" bestFit="1" customWidth="1"/>
    <col min="8" max="8" width="9.125" style="21" customWidth="1"/>
    <col min="9" max="9" width="2.125" style="21" customWidth="1"/>
    <col min="10" max="12" width="8.125" style="21" customWidth="1"/>
    <col min="13" max="13" width="8.75390625" style="21" bestFit="1" customWidth="1"/>
    <col min="14" max="14" width="7.875" style="21" bestFit="1" customWidth="1"/>
    <col min="15" max="15" width="8.125" style="21" customWidth="1"/>
    <col min="16" max="16" width="2.25390625" style="21" customWidth="1"/>
    <col min="17" max="18" width="8.125" style="21" customWidth="1"/>
    <col min="19" max="19" width="7.125" style="21" customWidth="1"/>
    <col min="20" max="20" width="8.875" style="21" bestFit="1" customWidth="1"/>
    <col min="21" max="21" width="6.75390625" style="21" customWidth="1"/>
    <col min="22" max="22" width="9.25390625" style="21" bestFit="1" customWidth="1"/>
    <col min="23" max="23" width="0.6171875" style="2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144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49"/>
      <c r="U2" s="49"/>
      <c r="V2" s="49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53" t="s">
        <v>103</v>
      </c>
      <c r="C3" s="202" t="s">
        <v>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3"/>
      <c r="X3" s="23"/>
      <c r="Y3" s="23"/>
      <c r="Z3" s="23"/>
      <c r="AA3" s="23"/>
      <c r="AB3" s="23"/>
      <c r="AC3" s="23"/>
      <c r="AD3" s="23"/>
    </row>
    <row r="4" spans="1:30" ht="12">
      <c r="A4" s="187"/>
      <c r="B4" s="187"/>
      <c r="C4" s="203" t="s">
        <v>2</v>
      </c>
      <c r="D4" s="203"/>
      <c r="E4" s="203"/>
      <c r="F4" s="203"/>
      <c r="G4" s="203"/>
      <c r="H4" s="203"/>
      <c r="I4" s="115"/>
      <c r="J4" s="203" t="s">
        <v>3</v>
      </c>
      <c r="K4" s="203"/>
      <c r="L4" s="203"/>
      <c r="M4" s="203"/>
      <c r="N4" s="203"/>
      <c r="O4" s="203"/>
      <c r="P4" s="115"/>
      <c r="Q4" s="203" t="s">
        <v>20</v>
      </c>
      <c r="R4" s="203"/>
      <c r="S4" s="203"/>
      <c r="T4" s="203"/>
      <c r="U4" s="203"/>
      <c r="V4" s="203"/>
      <c r="W4" s="24"/>
      <c r="X4" s="24"/>
      <c r="Y4" s="24"/>
      <c r="Z4" s="24"/>
      <c r="AA4" s="23"/>
      <c r="AB4" s="23"/>
      <c r="AC4" s="23"/>
      <c r="AD4" s="24"/>
    </row>
    <row r="5" spans="1:29" ht="12">
      <c r="A5" s="187"/>
      <c r="B5" s="187"/>
      <c r="C5" s="57" t="s">
        <v>4</v>
      </c>
      <c r="D5" s="202" t="s">
        <v>5</v>
      </c>
      <c r="E5" s="202"/>
      <c r="F5" s="202"/>
      <c r="G5" s="202"/>
      <c r="H5" s="202"/>
      <c r="I5" s="112"/>
      <c r="J5" s="57" t="s">
        <v>4</v>
      </c>
      <c r="K5" s="204" t="s">
        <v>5</v>
      </c>
      <c r="L5" s="204"/>
      <c r="M5" s="204"/>
      <c r="N5" s="204"/>
      <c r="O5" s="204"/>
      <c r="P5" s="112"/>
      <c r="Q5" s="57" t="s">
        <v>4</v>
      </c>
      <c r="R5" s="204" t="s">
        <v>5</v>
      </c>
      <c r="S5" s="204"/>
      <c r="T5" s="204"/>
      <c r="U5" s="204"/>
      <c r="V5" s="204"/>
      <c r="AA5" s="24"/>
      <c r="AB5" s="24"/>
      <c r="AC5" s="24"/>
    </row>
    <row r="6" spans="1:22" ht="12">
      <c r="A6" s="187"/>
      <c r="B6" s="187"/>
      <c r="C6" s="58"/>
      <c r="D6" s="58" t="s">
        <v>6</v>
      </c>
      <c r="E6" s="59" t="s">
        <v>19</v>
      </c>
      <c r="F6" s="59" t="s">
        <v>19</v>
      </c>
      <c r="G6" s="59" t="s">
        <v>19</v>
      </c>
      <c r="H6" s="58" t="s">
        <v>22</v>
      </c>
      <c r="I6" s="58"/>
      <c r="J6" s="58"/>
      <c r="K6" s="58" t="s">
        <v>6</v>
      </c>
      <c r="L6" s="59" t="s">
        <v>19</v>
      </c>
      <c r="M6" s="59" t="s">
        <v>19</v>
      </c>
      <c r="N6" s="59" t="s">
        <v>19</v>
      </c>
      <c r="O6" s="58" t="s">
        <v>22</v>
      </c>
      <c r="P6" s="58"/>
      <c r="Q6" s="58"/>
      <c r="R6" s="58" t="s">
        <v>6</v>
      </c>
      <c r="S6" s="59" t="s">
        <v>19</v>
      </c>
      <c r="T6" s="59" t="s">
        <v>19</v>
      </c>
      <c r="U6" s="59" t="s">
        <v>19</v>
      </c>
      <c r="V6" s="58" t="s">
        <v>22</v>
      </c>
    </row>
    <row r="7" spans="1:22" ht="12">
      <c r="A7" s="187"/>
      <c r="B7" s="187"/>
      <c r="C7" s="58"/>
      <c r="D7" s="58"/>
      <c r="E7" s="59" t="s">
        <v>57</v>
      </c>
      <c r="F7" s="59" t="s">
        <v>27</v>
      </c>
      <c r="G7" s="59" t="s">
        <v>23</v>
      </c>
      <c r="H7" s="133" t="s">
        <v>24</v>
      </c>
      <c r="I7" s="58"/>
      <c r="J7" s="58"/>
      <c r="K7" s="58"/>
      <c r="L7" s="59" t="s">
        <v>57</v>
      </c>
      <c r="M7" s="59" t="s">
        <v>27</v>
      </c>
      <c r="N7" s="59" t="s">
        <v>23</v>
      </c>
      <c r="O7" s="133" t="s">
        <v>24</v>
      </c>
      <c r="P7" s="58"/>
      <c r="Q7" s="58"/>
      <c r="R7" s="58"/>
      <c r="S7" s="59" t="s">
        <v>57</v>
      </c>
      <c r="T7" s="59" t="s">
        <v>27</v>
      </c>
      <c r="U7" s="59" t="s">
        <v>23</v>
      </c>
      <c r="V7" s="133" t="s">
        <v>24</v>
      </c>
    </row>
    <row r="8" spans="1:22" ht="12">
      <c r="A8" s="188"/>
      <c r="B8" s="188"/>
      <c r="C8" s="64"/>
      <c r="D8" s="64"/>
      <c r="E8" s="65" t="s">
        <v>49</v>
      </c>
      <c r="F8" s="66" t="s">
        <v>28</v>
      </c>
      <c r="G8" s="65" t="s">
        <v>58</v>
      </c>
      <c r="H8" s="68"/>
      <c r="I8" s="68"/>
      <c r="J8" s="64"/>
      <c r="K8" s="64"/>
      <c r="L8" s="65" t="s">
        <v>49</v>
      </c>
      <c r="M8" s="66" t="s">
        <v>28</v>
      </c>
      <c r="N8" s="65" t="s">
        <v>58</v>
      </c>
      <c r="O8" s="68"/>
      <c r="P8" s="68"/>
      <c r="Q8" s="64"/>
      <c r="R8" s="64"/>
      <c r="S8" s="65" t="s">
        <v>49</v>
      </c>
      <c r="T8" s="66" t="s">
        <v>28</v>
      </c>
      <c r="U8" s="65" t="s">
        <v>58</v>
      </c>
      <c r="V8" s="68"/>
    </row>
    <row r="9" spans="1:22" ht="12">
      <c r="A9" s="189" t="s">
        <v>104</v>
      </c>
      <c r="B9" s="189"/>
      <c r="C9" s="167">
        <f>C10+C11+C12</f>
        <v>43</v>
      </c>
      <c r="D9" s="167">
        <f>D10+D11+D12</f>
        <v>1025</v>
      </c>
      <c r="E9" s="168">
        <f>E10+E11+E12</f>
        <v>492</v>
      </c>
      <c r="F9" s="168">
        <f>F10+F11+F12</f>
        <v>34</v>
      </c>
      <c r="G9" s="168">
        <f>G10+G11+G12</f>
        <v>391</v>
      </c>
      <c r="H9" s="73">
        <f>D9/C9</f>
        <v>23.837209302325583</v>
      </c>
      <c r="J9" s="75">
        <f>J10+J11+J12</f>
        <v>6</v>
      </c>
      <c r="K9" s="75">
        <f>K10+K11+K12</f>
        <v>142</v>
      </c>
      <c r="L9" s="80">
        <f>L10+L11+L12</f>
        <v>66</v>
      </c>
      <c r="M9" s="80">
        <f>M10+M11+M12</f>
        <v>1</v>
      </c>
      <c r="N9" s="80">
        <f>N10+N11+N12</f>
        <v>81</v>
      </c>
      <c r="O9" s="74">
        <f>K9/J9</f>
        <v>23.666666666666668</v>
      </c>
      <c r="Q9" s="75">
        <f>J9+C9</f>
        <v>49</v>
      </c>
      <c r="R9" s="190">
        <f aca="true" t="shared" si="0" ref="Q9:U35">K9+D9</f>
        <v>1167</v>
      </c>
      <c r="S9" s="80">
        <f t="shared" si="0"/>
        <v>558</v>
      </c>
      <c r="T9" s="164">
        <f t="shared" si="0"/>
        <v>35</v>
      </c>
      <c r="U9" s="164">
        <f>N9+G9</f>
        <v>472</v>
      </c>
      <c r="V9" s="74">
        <f>R9/Q9</f>
        <v>23.816326530612244</v>
      </c>
    </row>
    <row r="10" spans="1:22" ht="12">
      <c r="A10" s="144"/>
      <c r="B10" s="144" t="s">
        <v>105</v>
      </c>
      <c r="C10" s="198">
        <v>12</v>
      </c>
      <c r="D10" s="198">
        <v>302</v>
      </c>
      <c r="E10" s="199">
        <v>152</v>
      </c>
      <c r="F10" s="199">
        <v>10</v>
      </c>
      <c r="G10" s="199">
        <v>79</v>
      </c>
      <c r="H10" s="200">
        <f>D10/C10</f>
        <v>25.166666666666668</v>
      </c>
      <c r="J10" s="123">
        <v>4</v>
      </c>
      <c r="K10" s="123">
        <v>95</v>
      </c>
      <c r="L10" s="153">
        <v>43</v>
      </c>
      <c r="M10" s="153">
        <v>0</v>
      </c>
      <c r="N10" s="153">
        <v>59</v>
      </c>
      <c r="O10" s="79">
        <f>K10/J10</f>
        <v>23.75</v>
      </c>
      <c r="Q10" s="123">
        <f t="shared" si="0"/>
        <v>16</v>
      </c>
      <c r="R10" s="123">
        <f t="shared" si="0"/>
        <v>397</v>
      </c>
      <c r="S10" s="153">
        <f t="shared" si="0"/>
        <v>195</v>
      </c>
      <c r="T10" s="153">
        <f t="shared" si="0"/>
        <v>10</v>
      </c>
      <c r="U10" s="153">
        <f t="shared" si="0"/>
        <v>138</v>
      </c>
      <c r="V10" s="79">
        <f>R10/Q10</f>
        <v>24.8125</v>
      </c>
    </row>
    <row r="11" spans="1:22" ht="12">
      <c r="A11" s="144"/>
      <c r="B11" s="144" t="s">
        <v>106</v>
      </c>
      <c r="C11" s="198">
        <v>21</v>
      </c>
      <c r="D11" s="198">
        <v>496</v>
      </c>
      <c r="E11" s="199">
        <v>230</v>
      </c>
      <c r="F11" s="199">
        <v>18</v>
      </c>
      <c r="G11" s="199">
        <v>219</v>
      </c>
      <c r="H11" s="200">
        <f aca="true" t="shared" si="1" ref="H11:H35">D11/C11</f>
        <v>23.61904761904762</v>
      </c>
      <c r="J11" s="123"/>
      <c r="K11" s="123"/>
      <c r="L11" s="153"/>
      <c r="M11" s="153"/>
      <c r="N11" s="153"/>
      <c r="O11" s="79"/>
      <c r="Q11" s="123">
        <f t="shared" si="0"/>
        <v>21</v>
      </c>
      <c r="R11" s="123">
        <f t="shared" si="0"/>
        <v>496</v>
      </c>
      <c r="S11" s="153">
        <f t="shared" si="0"/>
        <v>230</v>
      </c>
      <c r="T11" s="153">
        <f t="shared" si="0"/>
        <v>18</v>
      </c>
      <c r="U11" s="153">
        <f t="shared" si="0"/>
        <v>219</v>
      </c>
      <c r="V11" s="79">
        <f aca="true" t="shared" si="2" ref="V11:V34">R11/Q11</f>
        <v>23.61904761904762</v>
      </c>
    </row>
    <row r="12" spans="1:22" ht="12">
      <c r="A12" s="144"/>
      <c r="B12" s="144" t="s">
        <v>107</v>
      </c>
      <c r="C12" s="198">
        <v>10</v>
      </c>
      <c r="D12" s="198">
        <v>227</v>
      </c>
      <c r="E12" s="199">
        <v>110</v>
      </c>
      <c r="F12" s="199">
        <v>6</v>
      </c>
      <c r="G12" s="199">
        <v>93</v>
      </c>
      <c r="H12" s="200">
        <f t="shared" si="1"/>
        <v>22.7</v>
      </c>
      <c r="J12" s="123">
        <v>2</v>
      </c>
      <c r="K12" s="123">
        <v>47</v>
      </c>
      <c r="L12" s="153">
        <v>23</v>
      </c>
      <c r="M12" s="153">
        <v>1</v>
      </c>
      <c r="N12" s="153">
        <v>22</v>
      </c>
      <c r="O12" s="79">
        <f aca="true" t="shared" si="3" ref="O12:O35">K12/J12</f>
        <v>23.5</v>
      </c>
      <c r="Q12" s="123">
        <f t="shared" si="0"/>
        <v>12</v>
      </c>
      <c r="R12" s="123">
        <f t="shared" si="0"/>
        <v>274</v>
      </c>
      <c r="S12" s="153">
        <f t="shared" si="0"/>
        <v>133</v>
      </c>
      <c r="T12" s="153">
        <f t="shared" si="0"/>
        <v>7</v>
      </c>
      <c r="U12" s="153">
        <f t="shared" si="0"/>
        <v>115</v>
      </c>
      <c r="V12" s="79">
        <f t="shared" si="2"/>
        <v>22.833333333333332</v>
      </c>
    </row>
    <row r="13" spans="1:22" ht="12">
      <c r="A13" s="191" t="s">
        <v>10</v>
      </c>
      <c r="B13" s="191"/>
      <c r="C13" s="167">
        <f>C14+C15+C16</f>
        <v>34</v>
      </c>
      <c r="D13" s="167">
        <f>D14+D15+D16</f>
        <v>828</v>
      </c>
      <c r="E13" s="168">
        <f>E14+E15+E16</f>
        <v>382</v>
      </c>
      <c r="F13" s="168">
        <f>F14+F15+F16</f>
        <v>33</v>
      </c>
      <c r="G13" s="168">
        <f>G14+G15+G16</f>
        <v>318</v>
      </c>
      <c r="H13" s="73">
        <f t="shared" si="1"/>
        <v>24.352941176470587</v>
      </c>
      <c r="J13" s="75">
        <f>J14+J15+J16</f>
        <v>18</v>
      </c>
      <c r="K13" s="75">
        <f>K14+K15+K16</f>
        <v>411</v>
      </c>
      <c r="L13" s="80">
        <f>L14+L15+L16</f>
        <v>205</v>
      </c>
      <c r="M13" s="80">
        <f>M14+M15+M16</f>
        <v>10</v>
      </c>
      <c r="N13" s="80">
        <f>N14+N15+N16</f>
        <v>260</v>
      </c>
      <c r="O13" s="74">
        <f t="shared" si="3"/>
        <v>22.833333333333332</v>
      </c>
      <c r="Q13" s="75">
        <f t="shared" si="0"/>
        <v>52</v>
      </c>
      <c r="R13" s="75">
        <f t="shared" si="0"/>
        <v>1239</v>
      </c>
      <c r="S13" s="80">
        <f t="shared" si="0"/>
        <v>587</v>
      </c>
      <c r="T13" s="80">
        <f t="shared" si="0"/>
        <v>43</v>
      </c>
      <c r="U13" s="80">
        <f t="shared" si="0"/>
        <v>578</v>
      </c>
      <c r="V13" s="74">
        <f t="shared" si="2"/>
        <v>23.826923076923077</v>
      </c>
    </row>
    <row r="14" spans="1:22" ht="12">
      <c r="A14" s="192"/>
      <c r="B14" s="144" t="s">
        <v>108</v>
      </c>
      <c r="C14" s="198">
        <v>17</v>
      </c>
      <c r="D14" s="198">
        <v>414</v>
      </c>
      <c r="E14" s="199">
        <v>189</v>
      </c>
      <c r="F14" s="199">
        <v>21</v>
      </c>
      <c r="G14" s="199">
        <v>130</v>
      </c>
      <c r="H14" s="200">
        <f t="shared" si="1"/>
        <v>24.352941176470587</v>
      </c>
      <c r="J14" s="123">
        <v>10</v>
      </c>
      <c r="K14" s="123">
        <v>234</v>
      </c>
      <c r="L14" s="153">
        <v>106</v>
      </c>
      <c r="M14" s="153">
        <v>5</v>
      </c>
      <c r="N14" s="153">
        <v>151</v>
      </c>
      <c r="O14" s="79">
        <f t="shared" si="3"/>
        <v>23.4</v>
      </c>
      <c r="Q14" s="123">
        <f t="shared" si="0"/>
        <v>27</v>
      </c>
      <c r="R14" s="123">
        <f t="shared" si="0"/>
        <v>648</v>
      </c>
      <c r="S14" s="153">
        <f t="shared" si="0"/>
        <v>295</v>
      </c>
      <c r="T14" s="153">
        <f t="shared" si="0"/>
        <v>26</v>
      </c>
      <c r="U14" s="153">
        <f t="shared" si="0"/>
        <v>281</v>
      </c>
      <c r="V14" s="79">
        <f t="shared" si="2"/>
        <v>24</v>
      </c>
    </row>
    <row r="15" spans="1:22" ht="12">
      <c r="A15" s="193"/>
      <c r="B15" s="144" t="s">
        <v>109</v>
      </c>
      <c r="C15" s="198">
        <v>10</v>
      </c>
      <c r="D15" s="198">
        <v>254</v>
      </c>
      <c r="E15" s="199">
        <v>121</v>
      </c>
      <c r="F15" s="199">
        <v>6</v>
      </c>
      <c r="G15" s="199">
        <v>124</v>
      </c>
      <c r="H15" s="200">
        <f t="shared" si="1"/>
        <v>25.4</v>
      </c>
      <c r="J15" s="123">
        <v>4</v>
      </c>
      <c r="K15" s="123">
        <v>94</v>
      </c>
      <c r="L15" s="153">
        <v>54</v>
      </c>
      <c r="M15" s="153">
        <v>2</v>
      </c>
      <c r="N15" s="153">
        <v>48</v>
      </c>
      <c r="O15" s="79">
        <f t="shared" si="3"/>
        <v>23.5</v>
      </c>
      <c r="Q15" s="123">
        <f t="shared" si="0"/>
        <v>14</v>
      </c>
      <c r="R15" s="123">
        <f t="shared" si="0"/>
        <v>348</v>
      </c>
      <c r="S15" s="153">
        <f t="shared" si="0"/>
        <v>175</v>
      </c>
      <c r="T15" s="153">
        <f t="shared" si="0"/>
        <v>8</v>
      </c>
      <c r="U15" s="153">
        <f t="shared" si="0"/>
        <v>172</v>
      </c>
      <c r="V15" s="79">
        <f t="shared" si="2"/>
        <v>24.857142857142858</v>
      </c>
    </row>
    <row r="16" spans="1:22" ht="12">
      <c r="A16" s="193"/>
      <c r="B16" s="144" t="s">
        <v>110</v>
      </c>
      <c r="C16" s="198">
        <v>7</v>
      </c>
      <c r="D16" s="198">
        <v>160</v>
      </c>
      <c r="E16" s="199">
        <v>72</v>
      </c>
      <c r="F16" s="199">
        <v>6</v>
      </c>
      <c r="G16" s="199">
        <v>64</v>
      </c>
      <c r="H16" s="200">
        <f t="shared" si="1"/>
        <v>22.857142857142858</v>
      </c>
      <c r="J16" s="123">
        <v>4</v>
      </c>
      <c r="K16" s="123">
        <v>83</v>
      </c>
      <c r="L16" s="153">
        <v>45</v>
      </c>
      <c r="M16" s="153">
        <v>3</v>
      </c>
      <c r="N16" s="153">
        <v>61</v>
      </c>
      <c r="O16" s="79">
        <f t="shared" si="3"/>
        <v>20.75</v>
      </c>
      <c r="Q16" s="123">
        <f t="shared" si="0"/>
        <v>11</v>
      </c>
      <c r="R16" s="123">
        <f t="shared" si="0"/>
        <v>243</v>
      </c>
      <c r="S16" s="153">
        <f t="shared" si="0"/>
        <v>117</v>
      </c>
      <c r="T16" s="153">
        <f t="shared" si="0"/>
        <v>9</v>
      </c>
      <c r="U16" s="153">
        <f t="shared" si="0"/>
        <v>125</v>
      </c>
      <c r="V16" s="79">
        <f t="shared" si="2"/>
        <v>22.09090909090909</v>
      </c>
    </row>
    <row r="17" spans="1:22" ht="12">
      <c r="A17" s="191" t="s">
        <v>111</v>
      </c>
      <c r="B17" s="191"/>
      <c r="C17" s="167">
        <f>C18+C19+C20+C21</f>
        <v>44</v>
      </c>
      <c r="D17" s="167">
        <f>D18+D19+D20+D21</f>
        <v>1011</v>
      </c>
      <c r="E17" s="168">
        <f>E18+E19+E20+E21</f>
        <v>508</v>
      </c>
      <c r="F17" s="168">
        <f>F18+F19+F20+F21</f>
        <v>27</v>
      </c>
      <c r="G17" s="168">
        <f>G18+G19+G20+G21</f>
        <v>213</v>
      </c>
      <c r="H17" s="73">
        <f t="shared" si="1"/>
        <v>22.977272727272727</v>
      </c>
      <c r="J17" s="75">
        <f>J18+J19+J20+J21</f>
        <v>8</v>
      </c>
      <c r="K17" s="75">
        <f>K18+K19+K20+K21</f>
        <v>164</v>
      </c>
      <c r="L17" s="80">
        <f>L18+L19+L20+L21</f>
        <v>86</v>
      </c>
      <c r="M17" s="80">
        <f>M18+M19+M20+M21</f>
        <v>1</v>
      </c>
      <c r="N17" s="80">
        <f>N18+N19+N20+N21</f>
        <v>78</v>
      </c>
      <c r="O17" s="74">
        <f t="shared" si="3"/>
        <v>20.5</v>
      </c>
      <c r="Q17" s="75">
        <f t="shared" si="0"/>
        <v>52</v>
      </c>
      <c r="R17" s="75">
        <f t="shared" si="0"/>
        <v>1175</v>
      </c>
      <c r="S17" s="80">
        <f t="shared" si="0"/>
        <v>594</v>
      </c>
      <c r="T17" s="80">
        <f t="shared" si="0"/>
        <v>28</v>
      </c>
      <c r="U17" s="80">
        <f t="shared" si="0"/>
        <v>291</v>
      </c>
      <c r="V17" s="74">
        <f t="shared" si="2"/>
        <v>22.596153846153847</v>
      </c>
    </row>
    <row r="18" spans="1:22" ht="12">
      <c r="A18" s="193"/>
      <c r="B18" s="144" t="s">
        <v>112</v>
      </c>
      <c r="C18" s="198">
        <v>19</v>
      </c>
      <c r="D18" s="198">
        <v>434</v>
      </c>
      <c r="E18" s="199">
        <v>227</v>
      </c>
      <c r="F18" s="199">
        <v>6</v>
      </c>
      <c r="G18" s="199">
        <v>85</v>
      </c>
      <c r="H18" s="200">
        <f t="shared" si="1"/>
        <v>22.842105263157894</v>
      </c>
      <c r="J18" s="123"/>
      <c r="K18" s="123"/>
      <c r="L18" s="153"/>
      <c r="M18" s="153"/>
      <c r="N18" s="153"/>
      <c r="O18" s="79"/>
      <c r="Q18" s="123">
        <f t="shared" si="0"/>
        <v>19</v>
      </c>
      <c r="R18" s="123">
        <f t="shared" si="0"/>
        <v>434</v>
      </c>
      <c r="S18" s="153">
        <f t="shared" si="0"/>
        <v>227</v>
      </c>
      <c r="T18" s="153">
        <f t="shared" si="0"/>
        <v>6</v>
      </c>
      <c r="U18" s="153">
        <f t="shared" si="0"/>
        <v>85</v>
      </c>
      <c r="V18" s="79">
        <f t="shared" si="2"/>
        <v>22.842105263157894</v>
      </c>
    </row>
    <row r="19" spans="1:22" ht="12">
      <c r="A19" s="193"/>
      <c r="B19" s="144" t="s">
        <v>113</v>
      </c>
      <c r="C19" s="198">
        <v>7</v>
      </c>
      <c r="D19" s="198">
        <v>157</v>
      </c>
      <c r="E19" s="199">
        <v>75</v>
      </c>
      <c r="F19" s="199">
        <v>7</v>
      </c>
      <c r="G19" s="199">
        <v>19</v>
      </c>
      <c r="H19" s="200">
        <f t="shared" si="1"/>
        <v>22.428571428571427</v>
      </c>
      <c r="J19" s="123">
        <v>2</v>
      </c>
      <c r="K19" s="123">
        <v>41</v>
      </c>
      <c r="L19" s="153">
        <v>22</v>
      </c>
      <c r="M19" s="153">
        <v>1</v>
      </c>
      <c r="N19" s="153">
        <v>22</v>
      </c>
      <c r="O19" s="79">
        <f t="shared" si="3"/>
        <v>20.5</v>
      </c>
      <c r="Q19" s="123">
        <f t="shared" si="0"/>
        <v>9</v>
      </c>
      <c r="R19" s="123">
        <f t="shared" si="0"/>
        <v>198</v>
      </c>
      <c r="S19" s="153">
        <f t="shared" si="0"/>
        <v>97</v>
      </c>
      <c r="T19" s="153">
        <f t="shared" si="0"/>
        <v>8</v>
      </c>
      <c r="U19" s="153">
        <f t="shared" si="0"/>
        <v>41</v>
      </c>
      <c r="V19" s="79">
        <f t="shared" si="2"/>
        <v>22</v>
      </c>
    </row>
    <row r="20" spans="1:22" ht="12">
      <c r="A20" s="192"/>
      <c r="B20" s="144" t="s">
        <v>114</v>
      </c>
      <c r="C20" s="198">
        <v>2</v>
      </c>
      <c r="D20" s="198">
        <v>50</v>
      </c>
      <c r="E20" s="199">
        <v>23</v>
      </c>
      <c r="F20" s="199">
        <v>4</v>
      </c>
      <c r="G20" s="199">
        <v>4</v>
      </c>
      <c r="H20" s="200">
        <f t="shared" si="1"/>
        <v>25</v>
      </c>
      <c r="J20" s="123">
        <v>6</v>
      </c>
      <c r="K20" s="123">
        <v>123</v>
      </c>
      <c r="L20" s="153">
        <v>64</v>
      </c>
      <c r="M20" s="153">
        <v>0</v>
      </c>
      <c r="N20" s="153">
        <v>56</v>
      </c>
      <c r="O20" s="79">
        <f t="shared" si="3"/>
        <v>20.5</v>
      </c>
      <c r="Q20" s="123">
        <f t="shared" si="0"/>
        <v>8</v>
      </c>
      <c r="R20" s="123">
        <f t="shared" si="0"/>
        <v>173</v>
      </c>
      <c r="S20" s="153">
        <f t="shared" si="0"/>
        <v>87</v>
      </c>
      <c r="T20" s="153">
        <f t="shared" si="0"/>
        <v>4</v>
      </c>
      <c r="U20" s="153">
        <f t="shared" si="0"/>
        <v>60</v>
      </c>
      <c r="V20" s="79">
        <f t="shared" si="2"/>
        <v>21.625</v>
      </c>
    </row>
    <row r="21" spans="1:22" ht="12">
      <c r="A21" s="192"/>
      <c r="B21" s="144" t="s">
        <v>115</v>
      </c>
      <c r="C21" s="198">
        <v>16</v>
      </c>
      <c r="D21" s="198">
        <v>370</v>
      </c>
      <c r="E21" s="199">
        <v>183</v>
      </c>
      <c r="F21" s="199">
        <v>10</v>
      </c>
      <c r="G21" s="199">
        <v>105</v>
      </c>
      <c r="H21" s="200">
        <f t="shared" si="1"/>
        <v>23.125</v>
      </c>
      <c r="J21" s="123"/>
      <c r="K21" s="123"/>
      <c r="L21" s="153"/>
      <c r="M21" s="153"/>
      <c r="N21" s="153"/>
      <c r="O21" s="79"/>
      <c r="Q21" s="123">
        <f t="shared" si="0"/>
        <v>16</v>
      </c>
      <c r="R21" s="123">
        <f t="shared" si="0"/>
        <v>370</v>
      </c>
      <c r="S21" s="153">
        <f t="shared" si="0"/>
        <v>183</v>
      </c>
      <c r="T21" s="153">
        <f t="shared" si="0"/>
        <v>10</v>
      </c>
      <c r="U21" s="153">
        <f t="shared" si="0"/>
        <v>105</v>
      </c>
      <c r="V21" s="79">
        <f t="shared" si="2"/>
        <v>23.125</v>
      </c>
    </row>
    <row r="22" spans="1:22" ht="12">
      <c r="A22" s="189" t="s">
        <v>116</v>
      </c>
      <c r="B22" s="189"/>
      <c r="C22" s="167">
        <f>C23+C24</f>
        <v>27</v>
      </c>
      <c r="D22" s="167">
        <f>D23+D24</f>
        <v>652</v>
      </c>
      <c r="E22" s="168">
        <f>E23+E24</f>
        <v>331</v>
      </c>
      <c r="F22" s="168">
        <f>F23+F24</f>
        <v>18</v>
      </c>
      <c r="G22" s="168">
        <f>G23+G24</f>
        <v>191</v>
      </c>
      <c r="H22" s="73">
        <f t="shared" si="1"/>
        <v>24.14814814814815</v>
      </c>
      <c r="J22" s="75">
        <f>J23+J24</f>
        <v>26</v>
      </c>
      <c r="K22" s="75">
        <f>K23+K24</f>
        <v>539</v>
      </c>
      <c r="L22" s="80">
        <f>L23+L24</f>
        <v>248</v>
      </c>
      <c r="M22" s="80">
        <f>M23+M24</f>
        <v>7</v>
      </c>
      <c r="N22" s="80">
        <f>N23+N24</f>
        <v>302</v>
      </c>
      <c r="O22" s="74">
        <f t="shared" si="3"/>
        <v>20.73076923076923</v>
      </c>
      <c r="Q22" s="75">
        <f t="shared" si="0"/>
        <v>53</v>
      </c>
      <c r="R22" s="75">
        <f t="shared" si="0"/>
        <v>1191</v>
      </c>
      <c r="S22" s="80">
        <f t="shared" si="0"/>
        <v>579</v>
      </c>
      <c r="T22" s="80">
        <f t="shared" si="0"/>
        <v>25</v>
      </c>
      <c r="U22" s="80">
        <f t="shared" si="0"/>
        <v>493</v>
      </c>
      <c r="V22" s="74">
        <f t="shared" si="2"/>
        <v>22.471698113207548</v>
      </c>
    </row>
    <row r="23" spans="1:22" ht="12">
      <c r="A23" s="193"/>
      <c r="B23" s="144" t="s">
        <v>117</v>
      </c>
      <c r="C23" s="198">
        <v>16</v>
      </c>
      <c r="D23" s="198">
        <v>382</v>
      </c>
      <c r="E23" s="199">
        <v>202</v>
      </c>
      <c r="F23" s="199">
        <v>10</v>
      </c>
      <c r="G23" s="199">
        <v>135</v>
      </c>
      <c r="H23" s="200">
        <f t="shared" si="1"/>
        <v>23.875</v>
      </c>
      <c r="J23" s="123">
        <v>12</v>
      </c>
      <c r="K23" s="123">
        <v>266</v>
      </c>
      <c r="L23" s="153">
        <v>127</v>
      </c>
      <c r="M23" s="153">
        <v>3</v>
      </c>
      <c r="N23" s="153">
        <v>152</v>
      </c>
      <c r="O23" s="79">
        <f t="shared" si="3"/>
        <v>22.166666666666668</v>
      </c>
      <c r="Q23" s="123">
        <f t="shared" si="0"/>
        <v>28</v>
      </c>
      <c r="R23" s="123">
        <f t="shared" si="0"/>
        <v>648</v>
      </c>
      <c r="S23" s="153">
        <f t="shared" si="0"/>
        <v>329</v>
      </c>
      <c r="T23" s="153">
        <f t="shared" si="0"/>
        <v>13</v>
      </c>
      <c r="U23" s="153">
        <f t="shared" si="0"/>
        <v>287</v>
      </c>
      <c r="V23" s="79">
        <f t="shared" si="2"/>
        <v>23.142857142857142</v>
      </c>
    </row>
    <row r="24" spans="1:22" ht="12">
      <c r="A24" s="193"/>
      <c r="B24" s="144" t="s">
        <v>118</v>
      </c>
      <c r="C24" s="198">
        <v>11</v>
      </c>
      <c r="D24" s="198">
        <v>270</v>
      </c>
      <c r="E24" s="199">
        <v>129</v>
      </c>
      <c r="F24" s="199">
        <v>8</v>
      </c>
      <c r="G24" s="199">
        <v>56</v>
      </c>
      <c r="H24" s="200">
        <f t="shared" si="1"/>
        <v>24.545454545454547</v>
      </c>
      <c r="J24" s="123">
        <v>14</v>
      </c>
      <c r="K24" s="123">
        <v>273</v>
      </c>
      <c r="L24" s="153">
        <v>121</v>
      </c>
      <c r="M24" s="153">
        <v>4</v>
      </c>
      <c r="N24" s="153">
        <v>150</v>
      </c>
      <c r="O24" s="79">
        <f t="shared" si="3"/>
        <v>19.5</v>
      </c>
      <c r="Q24" s="123">
        <f t="shared" si="0"/>
        <v>25</v>
      </c>
      <c r="R24" s="123">
        <f t="shared" si="0"/>
        <v>543</v>
      </c>
      <c r="S24" s="153">
        <f t="shared" si="0"/>
        <v>250</v>
      </c>
      <c r="T24" s="153">
        <f t="shared" si="0"/>
        <v>12</v>
      </c>
      <c r="U24" s="153">
        <f t="shared" si="0"/>
        <v>206</v>
      </c>
      <c r="V24" s="79">
        <f t="shared" si="2"/>
        <v>21.72</v>
      </c>
    </row>
    <row r="25" spans="1:22" ht="12">
      <c r="A25" s="191" t="s">
        <v>37</v>
      </c>
      <c r="B25" s="191"/>
      <c r="C25" s="167">
        <f>C26+C27+C28+C29</f>
        <v>39</v>
      </c>
      <c r="D25" s="167">
        <f>D26+D27+D28+D29</f>
        <v>908</v>
      </c>
      <c r="E25" s="168">
        <f>E26+E27+E28+E29</f>
        <v>461</v>
      </c>
      <c r="F25" s="168">
        <f>F26+F27+F28+F29</f>
        <v>26</v>
      </c>
      <c r="G25" s="168">
        <f>G26+G27+G28+G29</f>
        <v>132</v>
      </c>
      <c r="H25" s="73">
        <f t="shared" si="1"/>
        <v>23.28205128205128</v>
      </c>
      <c r="J25" s="75">
        <f>J26+J27+J28+J29</f>
        <v>5</v>
      </c>
      <c r="K25" s="75">
        <f>K26+K27+K28+K29</f>
        <v>112</v>
      </c>
      <c r="L25" s="80">
        <f>L26+L27+L28+L29</f>
        <v>59</v>
      </c>
      <c r="M25" s="80">
        <f>M26+M27+M28+M29</f>
        <v>1</v>
      </c>
      <c r="N25" s="80">
        <f>N26+N27+N28+N29</f>
        <v>21</v>
      </c>
      <c r="O25" s="74">
        <f t="shared" si="3"/>
        <v>22.4</v>
      </c>
      <c r="Q25" s="75">
        <f t="shared" si="0"/>
        <v>44</v>
      </c>
      <c r="R25" s="75">
        <f t="shared" si="0"/>
        <v>1020</v>
      </c>
      <c r="S25" s="80">
        <f t="shared" si="0"/>
        <v>520</v>
      </c>
      <c r="T25" s="80">
        <f t="shared" si="0"/>
        <v>27</v>
      </c>
      <c r="U25" s="80">
        <f t="shared" si="0"/>
        <v>153</v>
      </c>
      <c r="V25" s="74">
        <f t="shared" si="2"/>
        <v>23.181818181818183</v>
      </c>
    </row>
    <row r="26" spans="1:22" ht="12">
      <c r="A26" s="193"/>
      <c r="B26" s="144" t="s">
        <v>119</v>
      </c>
      <c r="C26" s="198">
        <v>6</v>
      </c>
      <c r="D26" s="198">
        <v>122</v>
      </c>
      <c r="E26" s="199">
        <v>60</v>
      </c>
      <c r="F26" s="199">
        <v>0</v>
      </c>
      <c r="G26" s="199">
        <v>7</v>
      </c>
      <c r="H26" s="200">
        <f t="shared" si="1"/>
        <v>20.333333333333332</v>
      </c>
      <c r="J26" s="123"/>
      <c r="K26" s="123"/>
      <c r="L26" s="153"/>
      <c r="M26" s="153"/>
      <c r="N26" s="153"/>
      <c r="O26" s="79"/>
      <c r="Q26" s="123">
        <f t="shared" si="0"/>
        <v>6</v>
      </c>
      <c r="R26" s="123">
        <f t="shared" si="0"/>
        <v>122</v>
      </c>
      <c r="S26" s="153">
        <f t="shared" si="0"/>
        <v>60</v>
      </c>
      <c r="T26" s="153">
        <f t="shared" si="0"/>
        <v>0</v>
      </c>
      <c r="U26" s="153">
        <f t="shared" si="0"/>
        <v>7</v>
      </c>
      <c r="V26" s="79">
        <f t="shared" si="2"/>
        <v>20.333333333333332</v>
      </c>
    </row>
    <row r="27" spans="1:22" ht="12">
      <c r="A27" s="193"/>
      <c r="B27" s="144" t="s">
        <v>120</v>
      </c>
      <c r="C27" s="198">
        <v>9</v>
      </c>
      <c r="D27" s="198">
        <v>205</v>
      </c>
      <c r="E27" s="199">
        <v>102</v>
      </c>
      <c r="F27" s="199">
        <v>9</v>
      </c>
      <c r="G27" s="199">
        <v>34</v>
      </c>
      <c r="H27" s="200">
        <f t="shared" si="1"/>
        <v>22.77777777777778</v>
      </c>
      <c r="J27" s="123"/>
      <c r="K27" s="123"/>
      <c r="L27" s="153"/>
      <c r="M27" s="153"/>
      <c r="N27" s="153"/>
      <c r="O27" s="79"/>
      <c r="Q27" s="123">
        <f t="shared" si="0"/>
        <v>9</v>
      </c>
      <c r="R27" s="123">
        <f t="shared" si="0"/>
        <v>205</v>
      </c>
      <c r="S27" s="153">
        <f t="shared" si="0"/>
        <v>102</v>
      </c>
      <c r="T27" s="153">
        <f t="shared" si="0"/>
        <v>9</v>
      </c>
      <c r="U27" s="153">
        <f t="shared" si="0"/>
        <v>34</v>
      </c>
      <c r="V27" s="79">
        <f t="shared" si="2"/>
        <v>22.77777777777778</v>
      </c>
    </row>
    <row r="28" spans="1:22" ht="12">
      <c r="A28" s="192"/>
      <c r="B28" s="144" t="s">
        <v>121</v>
      </c>
      <c r="C28" s="198">
        <v>9</v>
      </c>
      <c r="D28" s="198">
        <v>223</v>
      </c>
      <c r="E28" s="199">
        <v>116</v>
      </c>
      <c r="F28" s="199">
        <v>7</v>
      </c>
      <c r="G28" s="199">
        <v>49</v>
      </c>
      <c r="H28" s="200">
        <f t="shared" si="1"/>
        <v>24.77777777777778</v>
      </c>
      <c r="J28" s="123"/>
      <c r="K28" s="123"/>
      <c r="L28" s="153"/>
      <c r="M28" s="153"/>
      <c r="N28" s="153"/>
      <c r="O28" s="79"/>
      <c r="Q28" s="123">
        <f t="shared" si="0"/>
        <v>9</v>
      </c>
      <c r="R28" s="123">
        <f t="shared" si="0"/>
        <v>223</v>
      </c>
      <c r="S28" s="153">
        <f t="shared" si="0"/>
        <v>116</v>
      </c>
      <c r="T28" s="153">
        <f t="shared" si="0"/>
        <v>7</v>
      </c>
      <c r="U28" s="153">
        <f t="shared" si="0"/>
        <v>49</v>
      </c>
      <c r="V28" s="79">
        <f t="shared" si="2"/>
        <v>24.77777777777778</v>
      </c>
    </row>
    <row r="29" spans="1:22" ht="12">
      <c r="A29" s="193"/>
      <c r="B29" s="144" t="s">
        <v>122</v>
      </c>
      <c r="C29" s="198">
        <v>15</v>
      </c>
      <c r="D29" s="198">
        <v>358</v>
      </c>
      <c r="E29" s="199">
        <v>183</v>
      </c>
      <c r="F29" s="199">
        <v>10</v>
      </c>
      <c r="G29" s="199">
        <v>42</v>
      </c>
      <c r="H29" s="200">
        <f t="shared" si="1"/>
        <v>23.866666666666667</v>
      </c>
      <c r="J29" s="123">
        <v>5</v>
      </c>
      <c r="K29" s="123">
        <v>112</v>
      </c>
      <c r="L29" s="153">
        <v>59</v>
      </c>
      <c r="M29" s="153">
        <v>1</v>
      </c>
      <c r="N29" s="153">
        <v>21</v>
      </c>
      <c r="O29" s="79">
        <f t="shared" si="3"/>
        <v>22.4</v>
      </c>
      <c r="Q29" s="123">
        <f t="shared" si="0"/>
        <v>20</v>
      </c>
      <c r="R29" s="123">
        <f t="shared" si="0"/>
        <v>470</v>
      </c>
      <c r="S29" s="153">
        <f t="shared" si="0"/>
        <v>242</v>
      </c>
      <c r="T29" s="153">
        <f t="shared" si="0"/>
        <v>11</v>
      </c>
      <c r="U29" s="153">
        <f t="shared" si="0"/>
        <v>63</v>
      </c>
      <c r="V29" s="79">
        <f t="shared" si="2"/>
        <v>23.5</v>
      </c>
    </row>
    <row r="30" spans="1:22" ht="12">
      <c r="A30" s="191" t="s">
        <v>17</v>
      </c>
      <c r="B30" s="191"/>
      <c r="C30" s="75">
        <f>C31+C32</f>
        <v>27</v>
      </c>
      <c r="D30" s="75">
        <f>D31+D32</f>
        <v>676</v>
      </c>
      <c r="E30" s="80">
        <f>E31+E32</f>
        <v>337</v>
      </c>
      <c r="F30" s="80">
        <f>F31+F32</f>
        <v>22</v>
      </c>
      <c r="G30" s="80">
        <f>G31+G32</f>
        <v>137</v>
      </c>
      <c r="H30" s="74">
        <f t="shared" si="1"/>
        <v>25.037037037037038</v>
      </c>
      <c r="J30" s="75">
        <f>J31+J32</f>
        <v>17</v>
      </c>
      <c r="K30" s="75">
        <f>K31+K32</f>
        <v>391</v>
      </c>
      <c r="L30" s="80">
        <f>L31+L32</f>
        <v>201</v>
      </c>
      <c r="M30" s="80">
        <f>M31+M32</f>
        <v>10</v>
      </c>
      <c r="N30" s="80">
        <f>N31+N32</f>
        <v>180</v>
      </c>
      <c r="O30" s="74">
        <f t="shared" si="3"/>
        <v>23</v>
      </c>
      <c r="Q30" s="75">
        <f t="shared" si="0"/>
        <v>44</v>
      </c>
      <c r="R30" s="75">
        <f t="shared" si="0"/>
        <v>1067</v>
      </c>
      <c r="S30" s="80">
        <f t="shared" si="0"/>
        <v>538</v>
      </c>
      <c r="T30" s="80">
        <f t="shared" si="0"/>
        <v>32</v>
      </c>
      <c r="U30" s="80">
        <f t="shared" si="0"/>
        <v>317</v>
      </c>
      <c r="V30" s="74">
        <f t="shared" si="2"/>
        <v>24.25</v>
      </c>
    </row>
    <row r="31" spans="1:22" ht="12">
      <c r="A31" s="192"/>
      <c r="B31" s="144" t="s">
        <v>123</v>
      </c>
      <c r="C31" s="123">
        <v>19</v>
      </c>
      <c r="D31" s="123">
        <v>474</v>
      </c>
      <c r="E31" s="153">
        <v>245</v>
      </c>
      <c r="F31" s="153">
        <v>14</v>
      </c>
      <c r="G31" s="153">
        <v>97</v>
      </c>
      <c r="H31" s="79">
        <f t="shared" si="1"/>
        <v>24.94736842105263</v>
      </c>
      <c r="J31" s="123">
        <v>11</v>
      </c>
      <c r="K31" s="123">
        <v>256</v>
      </c>
      <c r="L31" s="153">
        <v>127</v>
      </c>
      <c r="M31" s="153">
        <v>7</v>
      </c>
      <c r="N31" s="153">
        <v>121</v>
      </c>
      <c r="O31" s="79">
        <f t="shared" si="3"/>
        <v>23.272727272727273</v>
      </c>
      <c r="Q31" s="123">
        <f t="shared" si="0"/>
        <v>30</v>
      </c>
      <c r="R31" s="123">
        <f t="shared" si="0"/>
        <v>730</v>
      </c>
      <c r="S31" s="153">
        <f t="shared" si="0"/>
        <v>372</v>
      </c>
      <c r="T31" s="153">
        <f t="shared" si="0"/>
        <v>21</v>
      </c>
      <c r="U31" s="153">
        <f t="shared" si="0"/>
        <v>218</v>
      </c>
      <c r="V31" s="79">
        <f t="shared" si="2"/>
        <v>24.333333333333332</v>
      </c>
    </row>
    <row r="32" spans="1:22" ht="12">
      <c r="A32" s="193"/>
      <c r="B32" s="144" t="s">
        <v>124</v>
      </c>
      <c r="C32" s="123">
        <v>8</v>
      </c>
      <c r="D32" s="123">
        <v>202</v>
      </c>
      <c r="E32" s="153">
        <v>92</v>
      </c>
      <c r="F32" s="153">
        <v>8</v>
      </c>
      <c r="G32" s="153">
        <v>40</v>
      </c>
      <c r="H32" s="79">
        <f t="shared" si="1"/>
        <v>25.25</v>
      </c>
      <c r="J32" s="123">
        <v>6</v>
      </c>
      <c r="K32" s="123">
        <v>135</v>
      </c>
      <c r="L32" s="153">
        <v>74</v>
      </c>
      <c r="M32" s="153">
        <v>3</v>
      </c>
      <c r="N32" s="153">
        <v>59</v>
      </c>
      <c r="O32" s="79">
        <f t="shared" si="3"/>
        <v>22.5</v>
      </c>
      <c r="Q32" s="123">
        <f t="shared" si="0"/>
        <v>14</v>
      </c>
      <c r="R32" s="123">
        <f t="shared" si="0"/>
        <v>337</v>
      </c>
      <c r="S32" s="153">
        <f t="shared" si="0"/>
        <v>166</v>
      </c>
      <c r="T32" s="153">
        <f t="shared" si="0"/>
        <v>11</v>
      </c>
      <c r="U32" s="153">
        <f t="shared" si="0"/>
        <v>99</v>
      </c>
      <c r="V32" s="79">
        <f t="shared" si="2"/>
        <v>24.071428571428573</v>
      </c>
    </row>
    <row r="33" spans="1:22" ht="12">
      <c r="A33" s="194" t="s">
        <v>125</v>
      </c>
      <c r="B33" s="194"/>
      <c r="C33" s="80">
        <f>+C19+C28+C27+C20</f>
        <v>27</v>
      </c>
      <c r="D33" s="80">
        <f>+D19+D28+D27+D20</f>
        <v>635</v>
      </c>
      <c r="E33" s="80">
        <f>+E19+E28+E27+E20</f>
        <v>316</v>
      </c>
      <c r="F33" s="80">
        <f>+F19+F28+F27+F20</f>
        <v>27</v>
      </c>
      <c r="G33" s="80">
        <f>+G19+G28+G27+G20</f>
        <v>106</v>
      </c>
      <c r="H33" s="195">
        <f t="shared" si="1"/>
        <v>23.51851851851852</v>
      </c>
      <c r="J33" s="80">
        <f>+J19+J28+J27+J20</f>
        <v>8</v>
      </c>
      <c r="K33" s="80">
        <f>+K19+K28+K27+K20</f>
        <v>164</v>
      </c>
      <c r="L33" s="80">
        <f>+L19+L28+L27+L20</f>
        <v>86</v>
      </c>
      <c r="M33" s="80">
        <f>+M19+M28+M27+M20</f>
        <v>1</v>
      </c>
      <c r="N33" s="80">
        <f>+N19+N28+N27+N20</f>
        <v>78</v>
      </c>
      <c r="O33" s="195">
        <f t="shared" si="3"/>
        <v>20.5</v>
      </c>
      <c r="Q33" s="80">
        <f t="shared" si="0"/>
        <v>35</v>
      </c>
      <c r="R33" s="80">
        <f t="shared" si="0"/>
        <v>799</v>
      </c>
      <c r="S33" s="80">
        <f t="shared" si="0"/>
        <v>402</v>
      </c>
      <c r="T33" s="80">
        <f t="shared" si="0"/>
        <v>28</v>
      </c>
      <c r="U33" s="80">
        <f t="shared" si="0"/>
        <v>184</v>
      </c>
      <c r="V33" s="195">
        <f t="shared" si="2"/>
        <v>22.82857142857143</v>
      </c>
    </row>
    <row r="34" spans="1:22" ht="12">
      <c r="A34" s="194" t="s">
        <v>126</v>
      </c>
      <c r="B34" s="194"/>
      <c r="C34" s="80">
        <f>+C10+C11+C12+C14+C15+C16+C18+C21+C23+C24+C26+C29+C31+C32</f>
        <v>187</v>
      </c>
      <c r="D34" s="80">
        <f>+D10+D11+D12+D14+D15+D16+D18+D21+D23+D24+D26+D29+D31+D32</f>
        <v>4465</v>
      </c>
      <c r="E34" s="80">
        <f>+E10+E11+E12+E14+E15+E16+E18+E21+E23+E24+E26+E29+E31+E32</f>
        <v>2195</v>
      </c>
      <c r="F34" s="80">
        <f>+F10+F11+F12+F14+F15+F16+F18+F21+F23+F24+F26+F29+F31+F32</f>
        <v>133</v>
      </c>
      <c r="G34" s="80">
        <f>+G10+G11+G12+G14+G15+G16+G18+G21+G23+G24+G26+G29+G31+G32</f>
        <v>1276</v>
      </c>
      <c r="H34" s="195">
        <f t="shared" si="1"/>
        <v>23.877005347593585</v>
      </c>
      <c r="J34" s="80">
        <f>+J10+J11+J12+J14+J15+J16+J18+J21+J23+J24+J26+J29+J31+J32</f>
        <v>72</v>
      </c>
      <c r="K34" s="80">
        <f>+K10+K11+K12+K14+K15+K16+K18+K21+K23+K24+K26+K29+K31+K32</f>
        <v>1595</v>
      </c>
      <c r="L34" s="80">
        <f>+L10+L11+L12+L14+L15+L16+L18+L21+L23+L24+L26+L29+L31+L32</f>
        <v>779</v>
      </c>
      <c r="M34" s="80">
        <f>+M10+M11+M12+M14+M15+M16+M18+M21+M23+M24+M26+M29+M31+M32</f>
        <v>29</v>
      </c>
      <c r="N34" s="80">
        <f>+N10+N11+N12+N14+N15+N16+N18+N21+N23+N24+N26+N29+N31+N32</f>
        <v>844</v>
      </c>
      <c r="O34" s="195">
        <f t="shared" si="3"/>
        <v>22.15277777777778</v>
      </c>
      <c r="Q34" s="80">
        <f t="shared" si="0"/>
        <v>259</v>
      </c>
      <c r="R34" s="80">
        <f t="shared" si="0"/>
        <v>6060</v>
      </c>
      <c r="S34" s="80">
        <f t="shared" si="0"/>
        <v>2974</v>
      </c>
      <c r="T34" s="80">
        <f t="shared" si="0"/>
        <v>162</v>
      </c>
      <c r="U34" s="80">
        <f t="shared" si="0"/>
        <v>2120</v>
      </c>
      <c r="V34" s="195">
        <f t="shared" si="2"/>
        <v>23.397683397683398</v>
      </c>
    </row>
    <row r="35" spans="1:22" ht="12">
      <c r="A35" s="196" t="s">
        <v>48</v>
      </c>
      <c r="B35" s="196"/>
      <c r="C35" s="171">
        <f>+C9+C13+C17+C22+C25+C30</f>
        <v>214</v>
      </c>
      <c r="D35" s="171">
        <f>+D9+D13+D17+D22+D25+D30</f>
        <v>5100</v>
      </c>
      <c r="E35" s="93">
        <f>+E9+E13+E17+E22+E25+E30</f>
        <v>2511</v>
      </c>
      <c r="F35" s="93">
        <f>+F9+F13+F17+F22+F25+F30</f>
        <v>160</v>
      </c>
      <c r="G35" s="93">
        <f>+G9+G13+G17+G22+G25+G30</f>
        <v>1382</v>
      </c>
      <c r="H35" s="94">
        <f t="shared" si="1"/>
        <v>23.83177570093458</v>
      </c>
      <c r="J35" s="171">
        <f>+J9+J13+J17+J22+J25+J30</f>
        <v>80</v>
      </c>
      <c r="K35" s="171">
        <f>+K9+K13+K17+K22+K25+K30</f>
        <v>1759</v>
      </c>
      <c r="L35" s="93">
        <f>+L9+L13+L17+L22+L25+L30</f>
        <v>865</v>
      </c>
      <c r="M35" s="93">
        <f>+M9+M13+M17+M22+M25+M30</f>
        <v>30</v>
      </c>
      <c r="N35" s="93">
        <f>+N9+N13+N17+N22+N25+N30</f>
        <v>922</v>
      </c>
      <c r="O35" s="94">
        <f t="shared" si="3"/>
        <v>21.9875</v>
      </c>
      <c r="Q35" s="171">
        <f t="shared" si="0"/>
        <v>294</v>
      </c>
      <c r="R35" s="171">
        <f>K35+D35</f>
        <v>6859</v>
      </c>
      <c r="S35" s="93">
        <f t="shared" si="0"/>
        <v>3376</v>
      </c>
      <c r="T35" s="93">
        <f t="shared" si="0"/>
        <v>190</v>
      </c>
      <c r="U35" s="93">
        <f t="shared" si="0"/>
        <v>2304</v>
      </c>
      <c r="V35" s="94">
        <f>R35/Q35</f>
        <v>23.329931972789115</v>
      </c>
    </row>
    <row r="36" spans="1:22" ht="12">
      <c r="A36" s="97" t="s">
        <v>145</v>
      </c>
      <c r="B36" s="106"/>
      <c r="C36" s="107"/>
      <c r="D36" s="106"/>
      <c r="E36" s="106"/>
      <c r="F36" s="106"/>
      <c r="G36" s="106"/>
      <c r="H36" s="107"/>
      <c r="I36" s="107"/>
      <c r="J36" s="108"/>
      <c r="K36" s="108"/>
      <c r="L36" s="197"/>
      <c r="M36" s="108"/>
      <c r="N36" s="109"/>
      <c r="O36" s="109"/>
      <c r="P36" s="106"/>
      <c r="Q36" s="106"/>
      <c r="T36" s="106"/>
      <c r="U36" s="106"/>
      <c r="V36" s="106"/>
    </row>
    <row r="37" spans="1:22" ht="12">
      <c r="A37" s="97" t="s">
        <v>59</v>
      </c>
      <c r="B37" s="106"/>
      <c r="C37" s="107"/>
      <c r="D37" s="106"/>
      <c r="E37" s="106"/>
      <c r="F37" s="106"/>
      <c r="G37" s="106"/>
      <c r="H37" s="107"/>
      <c r="I37" s="107"/>
      <c r="J37" s="108"/>
      <c r="K37" s="108"/>
      <c r="L37" s="197"/>
      <c r="M37" s="108"/>
      <c r="N37" s="109"/>
      <c r="O37" s="109"/>
      <c r="P37" s="106"/>
      <c r="Q37" s="106"/>
      <c r="R37" s="106"/>
      <c r="S37" s="106"/>
      <c r="T37" s="106"/>
      <c r="U37" s="106"/>
      <c r="V37" s="106"/>
    </row>
    <row r="38" spans="1:22" ht="12">
      <c r="A38" s="105" t="s">
        <v>60</v>
      </c>
      <c r="B38" s="106"/>
      <c r="C38" s="107"/>
      <c r="D38" s="106"/>
      <c r="E38" s="106"/>
      <c r="F38" s="106"/>
      <c r="G38" s="106"/>
      <c r="H38" s="107"/>
      <c r="I38" s="107"/>
      <c r="J38" s="108"/>
      <c r="K38" s="108"/>
      <c r="L38" s="108"/>
      <c r="M38" s="108"/>
      <c r="N38" s="109"/>
      <c r="O38" s="109"/>
      <c r="P38" s="106"/>
      <c r="Q38" s="106"/>
      <c r="R38" s="106"/>
      <c r="S38" s="106"/>
      <c r="T38" s="106"/>
      <c r="U38" s="106"/>
      <c r="V38" s="106"/>
    </row>
    <row r="39" spans="1:22" ht="12">
      <c r="A39" s="105" t="s">
        <v>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6"/>
      <c r="Q39" s="106"/>
      <c r="R39" s="106"/>
      <c r="S39" s="106"/>
      <c r="T39" s="106"/>
      <c r="U39" s="106"/>
      <c r="V39" s="106"/>
    </row>
    <row r="40" spans="1:22" ht="12">
      <c r="A40" s="97" t="s">
        <v>85</v>
      </c>
      <c r="B40" s="106"/>
      <c r="C40" s="107"/>
      <c r="D40" s="107"/>
      <c r="E40" s="106"/>
      <c r="F40" s="106"/>
      <c r="G40" s="106"/>
      <c r="H40" s="107"/>
      <c r="I40" s="108"/>
      <c r="J40" s="108"/>
      <c r="K40" s="108"/>
      <c r="L40" s="109"/>
      <c r="M40" s="106"/>
      <c r="N40" s="106"/>
      <c r="O40" s="106"/>
      <c r="P40" s="106"/>
      <c r="Q40" s="106"/>
      <c r="R40" s="106"/>
      <c r="S40" s="106"/>
      <c r="T40" s="144"/>
      <c r="U40" s="144"/>
      <c r="V40" s="144"/>
    </row>
    <row r="41" spans="1:19" ht="12">
      <c r="A41" s="97" t="s">
        <v>90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96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ht="12">
      <c r="A45" s="97" t="s">
        <v>101</v>
      </c>
    </row>
    <row r="46" ht="12">
      <c r="A46" s="109" t="s">
        <v>135</v>
      </c>
    </row>
    <row r="47" ht="12">
      <c r="A47" s="109" t="s">
        <v>136</v>
      </c>
    </row>
    <row r="48" ht="12">
      <c r="A48" s="109" t="s">
        <v>137</v>
      </c>
    </row>
    <row r="49" ht="12">
      <c r="A49" s="109" t="s">
        <v>138</v>
      </c>
    </row>
    <row r="50" ht="12">
      <c r="A50" s="109" t="s">
        <v>139</v>
      </c>
    </row>
    <row r="51" ht="12">
      <c r="A51" s="109" t="s">
        <v>140</v>
      </c>
    </row>
    <row r="53" ht="12">
      <c r="A53" s="105" t="s">
        <v>142</v>
      </c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&amp;R400042.xls</oddHeader>
    <oddFooter>&amp;LComune di Bologna - Dipartimento Programmazione</oddFooter>
  </headerFooter>
  <ignoredErrors>
    <ignoredError sqref="C9:V9 C13:V13 H10:I12 C17:V17 H14:I16 C22:V22 H18:I21 C25:V25 H23:I24 C30:V30 H26:I29 C33:V35 H31:I32 O10:V12 O14:V16 O18:V21 O23:V24 O26:V29 O31:V32" unlockedFormula="1"/>
    <ignoredError sqref="E8:U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selection activeCell="D1" sqref="D1"/>
    </sheetView>
  </sheetViews>
  <sheetFormatPr defaultColWidth="10.625" defaultRowHeight="12"/>
  <cols>
    <col min="1" max="1" width="13.00390625" style="21" customWidth="1"/>
    <col min="2" max="2" width="6.75390625" style="21" customWidth="1"/>
    <col min="3" max="3" width="7.125" style="21" customWidth="1"/>
    <col min="4" max="4" width="9.25390625" style="21" customWidth="1"/>
    <col min="5" max="5" width="8.875" style="21" customWidth="1"/>
    <col min="6" max="6" width="1.25" style="21" customWidth="1"/>
    <col min="7" max="7" width="6.75390625" style="21" customWidth="1"/>
    <col min="8" max="8" width="7.125" style="21" customWidth="1"/>
    <col min="9" max="9" width="9.25390625" style="21" customWidth="1"/>
    <col min="10" max="10" width="8.875" style="21" customWidth="1"/>
    <col min="11" max="11" width="1.25" style="21" customWidth="1"/>
    <col min="12" max="12" width="6.75390625" style="21" customWidth="1"/>
    <col min="13" max="13" width="7.25390625" style="21" customWidth="1"/>
    <col min="14" max="15" width="9.25390625" style="21" customWidth="1"/>
    <col min="16" max="16" width="1.875" style="21" customWidth="1"/>
    <col min="17" max="17" width="6.75390625" style="21" customWidth="1"/>
    <col min="18" max="18" width="7.00390625" style="21" customWidth="1"/>
    <col min="19" max="19" width="11.125" style="21" hidden="1" customWidth="1"/>
    <col min="20" max="20" width="9.25390625" style="21" customWidth="1"/>
    <col min="21" max="21" width="8.875" style="21" customWidth="1"/>
    <col min="22" max="22" width="1.25" style="21" customWidth="1"/>
    <col min="23" max="23" width="6.75390625" style="21" customWidth="1"/>
    <col min="24" max="24" width="6.87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16384" width="10.625" style="21" customWidth="1"/>
  </cols>
  <sheetData>
    <row r="1" spans="1:26" s="13" customFormat="1" ht="15" customHeight="1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</row>
    <row r="2" spans="1:26" s="13" customFormat="1" ht="15" customHeight="1">
      <c r="A2" s="52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</row>
    <row r="3" spans="1:29" s="14" customFormat="1" ht="12" customHeight="1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12"/>
      <c r="Q3" s="207"/>
      <c r="R3" s="207"/>
      <c r="S3" s="207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s="14" customFormat="1" ht="12" customHeight="1">
      <c r="A4" s="54"/>
      <c r="B4" s="203" t="s">
        <v>2</v>
      </c>
      <c r="C4" s="203"/>
      <c r="D4" s="203"/>
      <c r="E4" s="203"/>
      <c r="F4" s="114"/>
      <c r="G4" s="203" t="s">
        <v>3</v>
      </c>
      <c r="H4" s="203"/>
      <c r="I4" s="203"/>
      <c r="J4" s="203"/>
      <c r="K4" s="114"/>
      <c r="L4" s="203" t="s">
        <v>20</v>
      </c>
      <c r="M4" s="203"/>
      <c r="N4" s="203"/>
      <c r="O4" s="203"/>
      <c r="P4" s="114"/>
      <c r="Q4" s="209"/>
      <c r="R4" s="209"/>
      <c r="S4" s="209"/>
      <c r="T4" s="210"/>
      <c r="U4" s="210"/>
      <c r="V4" s="15"/>
      <c r="W4" s="28"/>
      <c r="X4" s="28"/>
      <c r="Y4" s="28"/>
      <c r="Z4" s="15"/>
      <c r="AA4" s="28"/>
      <c r="AB4" s="28"/>
      <c r="AC4" s="28"/>
    </row>
    <row r="5" spans="1:29" s="14" customFormat="1" ht="12" customHeight="1">
      <c r="A5" s="56"/>
      <c r="B5" s="57" t="s">
        <v>4</v>
      </c>
      <c r="C5" s="202" t="s">
        <v>5</v>
      </c>
      <c r="D5" s="202"/>
      <c r="E5" s="202"/>
      <c r="F5" s="116"/>
      <c r="G5" s="57" t="s">
        <v>4</v>
      </c>
      <c r="H5" s="204" t="s">
        <v>5</v>
      </c>
      <c r="I5" s="204"/>
      <c r="J5" s="204"/>
      <c r="K5" s="116"/>
      <c r="L5" s="57" t="s">
        <v>4</v>
      </c>
      <c r="M5" s="204" t="s">
        <v>5</v>
      </c>
      <c r="N5" s="204"/>
      <c r="O5" s="204"/>
      <c r="P5" s="116"/>
      <c r="Q5" s="57"/>
      <c r="R5" s="206"/>
      <c r="S5" s="206"/>
      <c r="T5" s="205"/>
      <c r="U5" s="205"/>
      <c r="V5" s="17"/>
      <c r="W5" s="16"/>
      <c r="X5" s="205"/>
      <c r="Y5" s="205"/>
      <c r="Z5" s="17"/>
      <c r="AA5" s="16"/>
      <c r="AB5" s="205"/>
      <c r="AC5" s="205"/>
    </row>
    <row r="6" spans="1:29" s="18" customFormat="1" ht="12" customHeight="1">
      <c r="A6" s="56"/>
      <c r="B6" s="58"/>
      <c r="C6" s="58" t="s">
        <v>6</v>
      </c>
      <c r="D6" s="59" t="s">
        <v>19</v>
      </c>
      <c r="E6" s="58" t="s">
        <v>22</v>
      </c>
      <c r="F6" s="58"/>
      <c r="G6" s="58"/>
      <c r="H6" s="61" t="s">
        <v>21</v>
      </c>
      <c r="I6" s="59" t="s">
        <v>19</v>
      </c>
      <c r="J6" s="58" t="s">
        <v>7</v>
      </c>
      <c r="K6" s="58"/>
      <c r="L6" s="58"/>
      <c r="M6" s="61" t="s">
        <v>21</v>
      </c>
      <c r="N6" s="59" t="s">
        <v>19</v>
      </c>
      <c r="O6" s="58" t="s">
        <v>7</v>
      </c>
      <c r="P6" s="57"/>
      <c r="Q6" s="57"/>
      <c r="R6" s="61"/>
      <c r="S6" s="150"/>
      <c r="T6" s="29"/>
      <c r="U6" s="16"/>
      <c r="V6" s="16"/>
      <c r="W6" s="16"/>
      <c r="X6" s="27"/>
      <c r="Y6" s="16"/>
      <c r="Z6" s="16"/>
      <c r="AA6" s="16"/>
      <c r="AB6" s="27"/>
      <c r="AC6" s="16"/>
    </row>
    <row r="7" spans="1:29" s="18" customFormat="1" ht="12" customHeight="1">
      <c r="A7" s="56"/>
      <c r="B7" s="58"/>
      <c r="C7" s="58"/>
      <c r="D7" s="59" t="s">
        <v>23</v>
      </c>
      <c r="E7" s="133" t="s">
        <v>24</v>
      </c>
      <c r="F7" s="58"/>
      <c r="G7" s="58"/>
      <c r="H7" s="57"/>
      <c r="I7" s="59" t="s">
        <v>23</v>
      </c>
      <c r="J7" s="58" t="s">
        <v>8</v>
      </c>
      <c r="K7" s="58"/>
      <c r="L7" s="58"/>
      <c r="M7" s="57"/>
      <c r="N7" s="59" t="s">
        <v>23</v>
      </c>
      <c r="O7" s="58" t="s">
        <v>8</v>
      </c>
      <c r="P7" s="57"/>
      <c r="Q7" s="57"/>
      <c r="R7" s="57"/>
      <c r="S7" s="150"/>
      <c r="T7" s="29"/>
      <c r="U7" s="16"/>
      <c r="V7" s="16"/>
      <c r="W7" s="16"/>
      <c r="X7" s="16"/>
      <c r="Y7" s="16"/>
      <c r="Z7" s="16"/>
      <c r="AA7" s="16"/>
      <c r="AB7" s="16"/>
      <c r="AC7" s="16"/>
    </row>
    <row r="8" spans="1:29" s="18" customFormat="1" ht="12" customHeight="1">
      <c r="A8" s="63"/>
      <c r="B8" s="64"/>
      <c r="C8" s="64"/>
      <c r="D8" s="65" t="s">
        <v>25</v>
      </c>
      <c r="E8" s="68"/>
      <c r="F8" s="68"/>
      <c r="G8" s="64"/>
      <c r="H8" s="68"/>
      <c r="I8" s="65" t="s">
        <v>25</v>
      </c>
      <c r="J8" s="68"/>
      <c r="K8" s="68"/>
      <c r="L8" s="64"/>
      <c r="M8" s="68"/>
      <c r="N8" s="65" t="s">
        <v>25</v>
      </c>
      <c r="O8" s="68"/>
      <c r="P8" s="57"/>
      <c r="Q8" s="118"/>
      <c r="R8" s="57"/>
      <c r="S8" s="150"/>
      <c r="T8" s="36"/>
      <c r="U8" s="16"/>
      <c r="V8" s="16"/>
      <c r="W8" s="30"/>
      <c r="X8" s="16"/>
      <c r="Y8" s="16"/>
      <c r="Z8" s="16"/>
      <c r="AA8" s="30"/>
      <c r="AB8" s="16"/>
      <c r="AC8" s="16"/>
    </row>
    <row r="9" spans="1:29" s="19" customFormat="1" ht="13.5" customHeight="1">
      <c r="A9" s="119" t="s">
        <v>9</v>
      </c>
      <c r="B9" s="123">
        <v>18</v>
      </c>
      <c r="C9" s="120">
        <v>444</v>
      </c>
      <c r="D9" s="152">
        <v>53</v>
      </c>
      <c r="E9" s="79">
        <v>24.666666666666668</v>
      </c>
      <c r="F9" s="130"/>
      <c r="G9" s="123"/>
      <c r="H9" s="123"/>
      <c r="I9" s="153"/>
      <c r="J9" s="162"/>
      <c r="K9" s="130"/>
      <c r="L9" s="123">
        <v>18</v>
      </c>
      <c r="M9" s="123">
        <v>444</v>
      </c>
      <c r="N9" s="153">
        <v>53</v>
      </c>
      <c r="O9" s="79">
        <v>24.666666666666668</v>
      </c>
      <c r="P9" s="154"/>
      <c r="Q9" s="155"/>
      <c r="R9" s="155"/>
      <c r="S9" s="156"/>
      <c r="T9" s="32"/>
      <c r="U9" s="25"/>
      <c r="V9" s="31"/>
      <c r="W9" s="25"/>
      <c r="X9" s="25"/>
      <c r="Y9" s="25"/>
      <c r="Z9" s="31"/>
      <c r="AA9" s="25"/>
      <c r="AB9" s="25"/>
      <c r="AC9" s="25"/>
    </row>
    <row r="10" spans="1:29" s="19" customFormat="1" ht="11.25" customHeight="1">
      <c r="A10" s="119" t="s">
        <v>10</v>
      </c>
      <c r="B10" s="123">
        <v>38</v>
      </c>
      <c r="C10" s="120">
        <v>947</v>
      </c>
      <c r="D10" s="152">
        <v>162</v>
      </c>
      <c r="E10" s="79">
        <v>24.92105263157895</v>
      </c>
      <c r="F10" s="130"/>
      <c r="G10" s="123">
        <v>6</v>
      </c>
      <c r="H10" s="123">
        <v>167</v>
      </c>
      <c r="I10" s="153">
        <v>38</v>
      </c>
      <c r="J10" s="79">
        <v>27.833333333333332</v>
      </c>
      <c r="K10" s="130"/>
      <c r="L10" s="123">
        <v>44</v>
      </c>
      <c r="M10" s="123">
        <v>1114</v>
      </c>
      <c r="N10" s="153">
        <v>200</v>
      </c>
      <c r="O10" s="79">
        <v>25.318181818181817</v>
      </c>
      <c r="P10" s="154"/>
      <c r="Q10" s="155"/>
      <c r="R10" s="155"/>
      <c r="S10" s="156"/>
      <c r="T10" s="32"/>
      <c r="U10" s="25"/>
      <c r="V10" s="31"/>
      <c r="W10" s="25"/>
      <c r="X10" s="25"/>
      <c r="Y10" s="25"/>
      <c r="Z10" s="31"/>
      <c r="AA10" s="25"/>
      <c r="AB10" s="25"/>
      <c r="AC10" s="25"/>
    </row>
    <row r="11" spans="1:29" s="19" customFormat="1" ht="11.25" customHeight="1">
      <c r="A11" s="119" t="s">
        <v>11</v>
      </c>
      <c r="B11" s="123">
        <v>17</v>
      </c>
      <c r="C11" s="120">
        <v>422</v>
      </c>
      <c r="D11" s="152">
        <v>59</v>
      </c>
      <c r="E11" s="79">
        <v>24.823529411764707</v>
      </c>
      <c r="F11" s="130"/>
      <c r="G11" s="123">
        <v>3</v>
      </c>
      <c r="H11" s="123">
        <v>62</v>
      </c>
      <c r="I11" s="153">
        <v>18</v>
      </c>
      <c r="J11" s="79">
        <v>20.666666666666668</v>
      </c>
      <c r="K11" s="130"/>
      <c r="L11" s="123">
        <v>20</v>
      </c>
      <c r="M11" s="123">
        <v>484</v>
      </c>
      <c r="N11" s="153">
        <v>77</v>
      </c>
      <c r="O11" s="79">
        <v>24.2</v>
      </c>
      <c r="P11" s="154"/>
      <c r="Q11" s="155"/>
      <c r="R11" s="155"/>
      <c r="S11" s="156"/>
      <c r="T11" s="32"/>
      <c r="U11" s="25"/>
      <c r="V11" s="31"/>
      <c r="W11" s="25"/>
      <c r="X11" s="25"/>
      <c r="Y11" s="25"/>
      <c r="Z11" s="31"/>
      <c r="AA11" s="25"/>
      <c r="AB11" s="25"/>
      <c r="AC11" s="25"/>
    </row>
    <row r="12" spans="1:29" s="19" customFormat="1" ht="11.25" customHeight="1">
      <c r="A12" s="119" t="s">
        <v>12</v>
      </c>
      <c r="B12" s="123">
        <v>22</v>
      </c>
      <c r="C12" s="120">
        <v>551</v>
      </c>
      <c r="D12" s="152">
        <v>57</v>
      </c>
      <c r="E12" s="79">
        <v>25.045454545454547</v>
      </c>
      <c r="F12" s="130"/>
      <c r="G12" s="123">
        <v>1</v>
      </c>
      <c r="H12" s="123">
        <v>26</v>
      </c>
      <c r="I12" s="153">
        <v>14</v>
      </c>
      <c r="J12" s="79">
        <v>26</v>
      </c>
      <c r="K12" s="130"/>
      <c r="L12" s="123">
        <v>23</v>
      </c>
      <c r="M12" s="123">
        <v>577</v>
      </c>
      <c r="N12" s="153">
        <v>71</v>
      </c>
      <c r="O12" s="79">
        <v>25.08695652173913</v>
      </c>
      <c r="P12" s="154"/>
      <c r="Q12" s="155"/>
      <c r="R12" s="155"/>
      <c r="S12" s="156"/>
      <c r="T12" s="32"/>
      <c r="U12" s="25"/>
      <c r="V12" s="31"/>
      <c r="W12" s="25"/>
      <c r="X12" s="25"/>
      <c r="Y12" s="25"/>
      <c r="Z12" s="31"/>
      <c r="AA12" s="25"/>
      <c r="AB12" s="25"/>
      <c r="AC12" s="25"/>
    </row>
    <row r="13" spans="1:29" s="19" customFormat="1" ht="11.25" customHeight="1">
      <c r="A13" s="119" t="s">
        <v>13</v>
      </c>
      <c r="B13" s="123">
        <v>15</v>
      </c>
      <c r="C13" s="120">
        <v>373</v>
      </c>
      <c r="D13" s="152">
        <v>79</v>
      </c>
      <c r="E13" s="79">
        <v>24.866666666666667</v>
      </c>
      <c r="F13" s="130"/>
      <c r="G13" s="123">
        <v>10</v>
      </c>
      <c r="H13" s="123">
        <v>231</v>
      </c>
      <c r="I13" s="153">
        <v>43</v>
      </c>
      <c r="J13" s="79">
        <v>23.1</v>
      </c>
      <c r="K13" s="130"/>
      <c r="L13" s="123">
        <v>25</v>
      </c>
      <c r="M13" s="123">
        <v>604</v>
      </c>
      <c r="N13" s="153">
        <v>122</v>
      </c>
      <c r="O13" s="79">
        <v>24.16</v>
      </c>
      <c r="P13" s="154"/>
      <c r="Q13" s="155"/>
      <c r="R13" s="155"/>
      <c r="S13" s="156"/>
      <c r="T13" s="32"/>
      <c r="U13" s="25"/>
      <c r="V13" s="31"/>
      <c r="W13" s="25"/>
      <c r="X13" s="25"/>
      <c r="Y13" s="25"/>
      <c r="Z13" s="31"/>
      <c r="AA13" s="25"/>
      <c r="AB13" s="25"/>
      <c r="AC13" s="25"/>
    </row>
    <row r="14" spans="1:29" s="19" customFormat="1" ht="11.25" customHeight="1">
      <c r="A14" s="119" t="s">
        <v>14</v>
      </c>
      <c r="B14" s="146">
        <v>30</v>
      </c>
      <c r="C14" s="120">
        <v>732</v>
      </c>
      <c r="D14" s="152">
        <v>79</v>
      </c>
      <c r="E14" s="79">
        <v>24.4</v>
      </c>
      <c r="F14" s="130"/>
      <c r="G14" s="146">
        <v>5</v>
      </c>
      <c r="H14" s="123">
        <v>110</v>
      </c>
      <c r="I14" s="153">
        <v>12</v>
      </c>
      <c r="J14" s="79">
        <v>22</v>
      </c>
      <c r="K14" s="130"/>
      <c r="L14" s="123">
        <v>35</v>
      </c>
      <c r="M14" s="123">
        <v>842</v>
      </c>
      <c r="N14" s="153">
        <v>91</v>
      </c>
      <c r="O14" s="79">
        <v>24.057142857142857</v>
      </c>
      <c r="P14" s="154"/>
      <c r="Q14" s="155"/>
      <c r="R14" s="155"/>
      <c r="S14" s="156"/>
      <c r="T14" s="32"/>
      <c r="U14" s="25"/>
      <c r="V14" s="31"/>
      <c r="W14" s="25"/>
      <c r="X14" s="25"/>
      <c r="Y14" s="25"/>
      <c r="Z14" s="31"/>
      <c r="AA14" s="25"/>
      <c r="AB14" s="25"/>
      <c r="AC14" s="25"/>
    </row>
    <row r="15" spans="1:29" s="19" customFormat="1" ht="11.25" customHeight="1">
      <c r="A15" s="119" t="s">
        <v>15</v>
      </c>
      <c r="B15" s="123">
        <v>20</v>
      </c>
      <c r="C15" s="120">
        <v>496</v>
      </c>
      <c r="D15" s="152">
        <v>51</v>
      </c>
      <c r="E15" s="79">
        <v>24.8</v>
      </c>
      <c r="F15" s="130"/>
      <c r="G15" s="123">
        <v>11</v>
      </c>
      <c r="H15" s="123">
        <v>244</v>
      </c>
      <c r="I15" s="153">
        <v>41</v>
      </c>
      <c r="J15" s="79">
        <v>22.181818181818183</v>
      </c>
      <c r="K15" s="130"/>
      <c r="L15" s="123">
        <v>31</v>
      </c>
      <c r="M15" s="123">
        <v>740</v>
      </c>
      <c r="N15" s="153">
        <v>92</v>
      </c>
      <c r="O15" s="79">
        <v>23.870967741935484</v>
      </c>
      <c r="P15" s="154"/>
      <c r="Q15" s="155"/>
      <c r="R15" s="155"/>
      <c r="S15" s="158"/>
      <c r="T15" s="33"/>
      <c r="U15" s="25"/>
      <c r="V15" s="31"/>
      <c r="W15" s="25"/>
      <c r="X15" s="25"/>
      <c r="Y15" s="25"/>
      <c r="Z15" s="31"/>
      <c r="AA15" s="25"/>
      <c r="AB15" s="25"/>
      <c r="AC15" s="25"/>
    </row>
    <row r="16" spans="1:29" s="19" customFormat="1" ht="11.25" customHeight="1">
      <c r="A16" s="119" t="s">
        <v>16</v>
      </c>
      <c r="B16" s="123">
        <v>22</v>
      </c>
      <c r="C16" s="120">
        <v>550</v>
      </c>
      <c r="D16" s="152">
        <v>60</v>
      </c>
      <c r="E16" s="79">
        <v>25</v>
      </c>
      <c r="F16" s="130"/>
      <c r="G16" s="123">
        <v>2</v>
      </c>
      <c r="H16" s="123">
        <v>45</v>
      </c>
      <c r="I16" s="153">
        <v>17</v>
      </c>
      <c r="J16" s="79">
        <v>22.5</v>
      </c>
      <c r="K16" s="130"/>
      <c r="L16" s="123">
        <v>24</v>
      </c>
      <c r="M16" s="123">
        <v>595</v>
      </c>
      <c r="N16" s="153">
        <v>77</v>
      </c>
      <c r="O16" s="79">
        <v>24.791666666666668</v>
      </c>
      <c r="P16" s="154"/>
      <c r="Q16" s="155"/>
      <c r="R16" s="155"/>
      <c r="S16" s="156"/>
      <c r="T16" s="32"/>
      <c r="U16" s="25"/>
      <c r="V16" s="31"/>
      <c r="W16" s="25"/>
      <c r="X16" s="25"/>
      <c r="Y16" s="25"/>
      <c r="Z16" s="31"/>
      <c r="AA16" s="25"/>
      <c r="AB16" s="25"/>
      <c r="AC16" s="25"/>
    </row>
    <row r="17" spans="1:29" s="19" customFormat="1" ht="11.25" customHeight="1">
      <c r="A17" s="119" t="s">
        <v>17</v>
      </c>
      <c r="B17" s="123">
        <v>22</v>
      </c>
      <c r="C17" s="120">
        <v>570</v>
      </c>
      <c r="D17" s="152">
        <v>36</v>
      </c>
      <c r="E17" s="79">
        <v>25.90909090909091</v>
      </c>
      <c r="F17" s="130"/>
      <c r="G17" s="123">
        <v>14</v>
      </c>
      <c r="H17" s="123">
        <v>327</v>
      </c>
      <c r="I17" s="153">
        <v>41</v>
      </c>
      <c r="J17" s="79">
        <v>23.357142857142858</v>
      </c>
      <c r="K17" s="130"/>
      <c r="L17" s="123">
        <v>36</v>
      </c>
      <c r="M17" s="123">
        <v>897</v>
      </c>
      <c r="N17" s="153">
        <v>77</v>
      </c>
      <c r="O17" s="79">
        <v>24.916666666666668</v>
      </c>
      <c r="P17" s="154"/>
      <c r="Q17" s="155"/>
      <c r="R17" s="155"/>
      <c r="S17" s="156"/>
      <c r="T17" s="32"/>
      <c r="U17" s="25"/>
      <c r="V17" s="31"/>
      <c r="W17" s="25"/>
      <c r="X17" s="25"/>
      <c r="Y17" s="25"/>
      <c r="Z17" s="31"/>
      <c r="AA17" s="25"/>
      <c r="AB17" s="25"/>
      <c r="AC17" s="25"/>
    </row>
    <row r="18" spans="1:29" s="20" customFormat="1" ht="15" customHeight="1">
      <c r="A18" s="134" t="s">
        <v>18</v>
      </c>
      <c r="B18" s="90">
        <v>204</v>
      </c>
      <c r="C18" s="90">
        <v>5085</v>
      </c>
      <c r="D18" s="95">
        <v>636</v>
      </c>
      <c r="E18" s="163">
        <v>24.926470588235293</v>
      </c>
      <c r="F18" s="90"/>
      <c r="G18" s="90">
        <v>52</v>
      </c>
      <c r="H18" s="90">
        <v>1212</v>
      </c>
      <c r="I18" s="95">
        <v>224</v>
      </c>
      <c r="J18" s="163">
        <v>23.307692307692307</v>
      </c>
      <c r="K18" s="90"/>
      <c r="L18" s="90">
        <v>256</v>
      </c>
      <c r="M18" s="90">
        <v>6297</v>
      </c>
      <c r="N18" s="95">
        <v>860</v>
      </c>
      <c r="O18" s="163">
        <v>24.59765625</v>
      </c>
      <c r="P18" s="98"/>
      <c r="Q18" s="98"/>
      <c r="R18" s="98"/>
      <c r="S18" s="142"/>
      <c r="T18" s="35"/>
      <c r="U18" s="34"/>
      <c r="V18" s="34"/>
      <c r="W18" s="34"/>
      <c r="X18" s="34"/>
      <c r="Y18" s="34"/>
      <c r="Z18" s="34"/>
      <c r="AA18" s="34"/>
      <c r="AB18" s="34"/>
      <c r="AC18" s="34"/>
    </row>
    <row r="19" spans="1:19" s="26" customFormat="1" ht="11.25" customHeight="1">
      <c r="A19" s="105" t="s">
        <v>55</v>
      </c>
      <c r="B19" s="106"/>
      <c r="C19" s="107"/>
      <c r="D19" s="106"/>
      <c r="E19" s="106"/>
      <c r="F19" s="107"/>
      <c r="G19" s="107"/>
      <c r="H19" s="108"/>
      <c r="I19" s="108"/>
      <c r="J19" s="109"/>
      <c r="K19" s="106"/>
      <c r="L19" s="106"/>
      <c r="M19" s="106"/>
      <c r="N19" s="106"/>
      <c r="O19" s="106"/>
      <c r="P19" s="106"/>
      <c r="Q19" s="159"/>
      <c r="R19" s="159"/>
      <c r="S19" s="159"/>
    </row>
    <row r="20" spans="1:19" s="26" customFormat="1" ht="11.25" customHeight="1">
      <c r="A20" s="105" t="s">
        <v>26</v>
      </c>
      <c r="B20" s="106"/>
      <c r="C20" s="107"/>
      <c r="D20" s="106"/>
      <c r="E20" s="106"/>
      <c r="F20" s="107"/>
      <c r="G20" s="107"/>
      <c r="H20" s="108"/>
      <c r="I20" s="108"/>
      <c r="J20" s="109"/>
      <c r="K20" s="106"/>
      <c r="L20" s="106"/>
      <c r="M20" s="106"/>
      <c r="N20" s="106"/>
      <c r="O20" s="106"/>
      <c r="P20" s="106"/>
      <c r="Q20" s="159"/>
      <c r="R20" s="159"/>
      <c r="S20" s="159"/>
    </row>
    <row r="21" spans="1:28" ht="12">
      <c r="A21" s="144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22"/>
      <c r="U21" s="22"/>
      <c r="V21" s="22"/>
      <c r="W21" s="22"/>
      <c r="Z21" s="22"/>
      <c r="AB21" s="22"/>
    </row>
    <row r="22" spans="1:26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60"/>
      <c r="S22" s="160"/>
      <c r="T22" s="11"/>
      <c r="U22" s="10"/>
      <c r="V22" s="23"/>
      <c r="W22" s="22"/>
      <c r="Z22" s="23"/>
    </row>
    <row r="23" spans="1:26" ht="12">
      <c r="A23" s="145"/>
      <c r="B23" s="146"/>
      <c r="C23" s="146"/>
      <c r="D23" s="146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23"/>
      <c r="U23" s="23"/>
      <c r="V23" s="23"/>
      <c r="W23" s="23"/>
      <c r="X23" s="23"/>
      <c r="Y23" s="23"/>
      <c r="Z23" s="23"/>
    </row>
    <row r="24" spans="1:26" ht="12">
      <c r="A24" s="147"/>
      <c r="B24" s="146"/>
      <c r="C24" s="146"/>
      <c r="D24" s="146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24"/>
      <c r="U24" s="24"/>
      <c r="V24" s="24"/>
      <c r="W24" s="23"/>
      <c r="X24" s="23"/>
      <c r="Y24" s="23"/>
      <c r="Z24" s="24"/>
    </row>
    <row r="25" spans="1:25" ht="12">
      <c r="A25" s="147"/>
      <c r="B25" s="146"/>
      <c r="C25" s="146"/>
      <c r="D25" s="146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W25" s="24"/>
      <c r="X25" s="24"/>
      <c r="Y25" s="24"/>
    </row>
    <row r="26" spans="1:19" ht="12">
      <c r="A26" s="147"/>
      <c r="B26" s="146"/>
      <c r="C26" s="146"/>
      <c r="D26" s="146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</row>
    <row r="27" spans="1:19" ht="12">
      <c r="A27" s="147"/>
      <c r="B27" s="146"/>
      <c r="C27" s="146"/>
      <c r="D27" s="146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</row>
    <row r="28" spans="1:19" ht="12">
      <c r="A28" s="147"/>
      <c r="B28" s="146"/>
      <c r="C28" s="146"/>
      <c r="D28" s="146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</row>
    <row r="29" spans="1:19" ht="12">
      <c r="A29" s="147"/>
      <c r="B29" s="146"/>
      <c r="C29" s="146"/>
      <c r="D29" s="146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</row>
    <row r="30" spans="1:19" ht="12">
      <c r="A30" s="147"/>
      <c r="B30" s="146"/>
      <c r="C30" s="146"/>
      <c r="D30" s="146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1:19" ht="12">
      <c r="A31" s="147"/>
      <c r="B31" s="146"/>
      <c r="C31" s="146"/>
      <c r="D31" s="146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</row>
    <row r="32" spans="1:19" ht="12">
      <c r="A32" s="144"/>
      <c r="B32" s="146"/>
      <c r="C32" s="146"/>
      <c r="D32" s="146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1:19" ht="12">
      <c r="A33" s="132"/>
      <c r="B33" s="110"/>
      <c r="C33" s="110"/>
      <c r="D33" s="146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12">
      <c r="A34" s="144"/>
      <c r="B34" s="144"/>
      <c r="C34" s="144"/>
      <c r="D34" s="146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1:19" ht="12">
      <c r="A35" s="144"/>
      <c r="B35" s="144"/>
      <c r="C35" s="144"/>
      <c r="D35" s="146"/>
      <c r="E35" s="110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</row>
    <row r="36" spans="1:19" ht="12">
      <c r="A36" s="144"/>
      <c r="B36" s="144"/>
      <c r="C36" s="144"/>
      <c r="D36" s="146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</row>
    <row r="37" spans="1:19" ht="12">
      <c r="A37" s="144"/>
      <c r="B37" s="144"/>
      <c r="C37" s="144"/>
      <c r="D37" s="146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12">
      <c r="A38" s="144"/>
      <c r="B38" s="144"/>
      <c r="C38" s="144"/>
      <c r="D38" s="146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12">
      <c r="A39" s="144"/>
      <c r="B39" s="144"/>
      <c r="C39" s="144"/>
      <c r="D39" s="146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1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12">
    <mergeCell ref="B3:O3"/>
    <mergeCell ref="Q3:AC3"/>
    <mergeCell ref="B4:E4"/>
    <mergeCell ref="G4:J4"/>
    <mergeCell ref="L4:O4"/>
    <mergeCell ref="Q4:U4"/>
    <mergeCell ref="X5:Y5"/>
    <mergeCell ref="AB5:AC5"/>
    <mergeCell ref="C5:E5"/>
    <mergeCell ref="H5:J5"/>
    <mergeCell ref="M5:O5"/>
    <mergeCell ref="R5:U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&amp;R400042.xls</oddHeader>
    <oddFooter>&amp;LComune di Bologna - Dipartimento Programmazione</oddFooter>
  </headerFooter>
  <ignoredErrors>
    <ignoredError sqref="D8:N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3.00390625" style="21" customWidth="1"/>
    <col min="2" max="2" width="6.75390625" style="21" customWidth="1"/>
    <col min="3" max="3" width="7.125" style="21" customWidth="1"/>
    <col min="4" max="4" width="9.25390625" style="21" customWidth="1"/>
    <col min="5" max="5" width="8.875" style="21" customWidth="1"/>
    <col min="6" max="6" width="1.25" style="21" customWidth="1"/>
    <col min="7" max="7" width="6.75390625" style="21" customWidth="1"/>
    <col min="8" max="8" width="7.125" style="21" customWidth="1"/>
    <col min="9" max="9" width="9.25390625" style="21" customWidth="1"/>
    <col min="10" max="10" width="8.875" style="21" customWidth="1"/>
    <col min="11" max="11" width="1.25" style="21" customWidth="1"/>
    <col min="12" max="12" width="6.75390625" style="21" customWidth="1"/>
    <col min="13" max="13" width="7.25390625" style="21" customWidth="1"/>
    <col min="14" max="15" width="9.25390625" style="21" customWidth="1"/>
    <col min="16" max="16" width="1.875" style="21" customWidth="1"/>
    <col min="17" max="17" width="6.75390625" style="21" customWidth="1"/>
    <col min="18" max="18" width="7.00390625" style="21" customWidth="1"/>
    <col min="19" max="19" width="11.125" style="21" hidden="1" customWidth="1"/>
    <col min="20" max="20" width="9.25390625" style="21" customWidth="1"/>
    <col min="21" max="21" width="8.875" style="21" customWidth="1"/>
    <col min="22" max="22" width="1.25" style="21" customWidth="1"/>
    <col min="23" max="23" width="6.75390625" style="21" customWidth="1"/>
    <col min="24" max="24" width="6.87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16384" width="10.625" style="21" customWidth="1"/>
  </cols>
  <sheetData>
    <row r="1" spans="1:26" s="13" customFormat="1" ht="15" customHeight="1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</row>
    <row r="2" spans="1:26" s="13" customFormat="1" ht="15" customHeight="1">
      <c r="A2" s="52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</row>
    <row r="3" spans="1:29" s="14" customFormat="1" ht="12" customHeight="1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12"/>
      <c r="Q3" s="207"/>
      <c r="R3" s="207"/>
      <c r="S3" s="207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s="14" customFormat="1" ht="12" customHeight="1">
      <c r="A4" s="54"/>
      <c r="B4" s="203" t="s">
        <v>2</v>
      </c>
      <c r="C4" s="203"/>
      <c r="D4" s="203"/>
      <c r="E4" s="203"/>
      <c r="F4" s="114"/>
      <c r="G4" s="203" t="s">
        <v>3</v>
      </c>
      <c r="H4" s="203"/>
      <c r="I4" s="203"/>
      <c r="J4" s="203"/>
      <c r="K4" s="114"/>
      <c r="L4" s="203" t="s">
        <v>20</v>
      </c>
      <c r="M4" s="203"/>
      <c r="N4" s="203"/>
      <c r="O4" s="203"/>
      <c r="P4" s="114"/>
      <c r="Q4" s="209"/>
      <c r="R4" s="209"/>
      <c r="S4" s="209"/>
      <c r="T4" s="210"/>
      <c r="U4" s="210"/>
      <c r="V4" s="15"/>
      <c r="W4" s="28"/>
      <c r="X4" s="28"/>
      <c r="Y4" s="28"/>
      <c r="Z4" s="15"/>
      <c r="AA4" s="28"/>
      <c r="AB4" s="28"/>
      <c r="AC4" s="28"/>
    </row>
    <row r="5" spans="1:29" s="14" customFormat="1" ht="12" customHeight="1">
      <c r="A5" s="56"/>
      <c r="B5" s="57" t="s">
        <v>4</v>
      </c>
      <c r="C5" s="202" t="s">
        <v>5</v>
      </c>
      <c r="D5" s="202"/>
      <c r="E5" s="202"/>
      <c r="F5" s="116"/>
      <c r="G5" s="57" t="s">
        <v>4</v>
      </c>
      <c r="H5" s="204" t="s">
        <v>5</v>
      </c>
      <c r="I5" s="204"/>
      <c r="J5" s="204"/>
      <c r="K5" s="116"/>
      <c r="L5" s="57" t="s">
        <v>4</v>
      </c>
      <c r="M5" s="204" t="s">
        <v>5</v>
      </c>
      <c r="N5" s="204"/>
      <c r="O5" s="204"/>
      <c r="P5" s="116"/>
      <c r="Q5" s="57"/>
      <c r="R5" s="206"/>
      <c r="S5" s="206"/>
      <c r="T5" s="205"/>
      <c r="U5" s="205"/>
      <c r="V5" s="17"/>
      <c r="W5" s="16"/>
      <c r="X5" s="205"/>
      <c r="Y5" s="205"/>
      <c r="Z5" s="17"/>
      <c r="AA5" s="16"/>
      <c r="AB5" s="205"/>
      <c r="AC5" s="205"/>
    </row>
    <row r="6" spans="1:29" s="18" customFormat="1" ht="12" customHeight="1">
      <c r="A6" s="56"/>
      <c r="B6" s="58"/>
      <c r="C6" s="58" t="s">
        <v>6</v>
      </c>
      <c r="D6" s="59" t="s">
        <v>19</v>
      </c>
      <c r="E6" s="58" t="s">
        <v>22</v>
      </c>
      <c r="F6" s="58"/>
      <c r="G6" s="58"/>
      <c r="H6" s="61" t="s">
        <v>21</v>
      </c>
      <c r="I6" s="59" t="s">
        <v>19</v>
      </c>
      <c r="J6" s="58" t="s">
        <v>7</v>
      </c>
      <c r="K6" s="58"/>
      <c r="L6" s="58"/>
      <c r="M6" s="61" t="s">
        <v>21</v>
      </c>
      <c r="N6" s="59" t="s">
        <v>19</v>
      </c>
      <c r="O6" s="58" t="s">
        <v>7</v>
      </c>
      <c r="P6" s="57"/>
      <c r="Q6" s="57"/>
      <c r="R6" s="61"/>
      <c r="S6" s="150"/>
      <c r="T6" s="29"/>
      <c r="U6" s="16"/>
      <c r="V6" s="16"/>
      <c r="W6" s="16"/>
      <c r="X6" s="27"/>
      <c r="Y6" s="16"/>
      <c r="Z6" s="16"/>
      <c r="AA6" s="16"/>
      <c r="AB6" s="27"/>
      <c r="AC6" s="16"/>
    </row>
    <row r="7" spans="1:29" s="18" customFormat="1" ht="12" customHeight="1">
      <c r="A7" s="56"/>
      <c r="B7" s="58"/>
      <c r="C7" s="58"/>
      <c r="D7" s="59" t="s">
        <v>23</v>
      </c>
      <c r="E7" s="133" t="s">
        <v>24</v>
      </c>
      <c r="F7" s="58"/>
      <c r="G7" s="58"/>
      <c r="H7" s="57"/>
      <c r="I7" s="59" t="s">
        <v>23</v>
      </c>
      <c r="J7" s="58" t="s">
        <v>8</v>
      </c>
      <c r="K7" s="58"/>
      <c r="L7" s="58"/>
      <c r="M7" s="57"/>
      <c r="N7" s="59" t="s">
        <v>23</v>
      </c>
      <c r="O7" s="58" t="s">
        <v>8</v>
      </c>
      <c r="P7" s="57"/>
      <c r="Q7" s="57"/>
      <c r="R7" s="57"/>
      <c r="S7" s="150"/>
      <c r="T7" s="29"/>
      <c r="U7" s="16"/>
      <c r="V7" s="16"/>
      <c r="W7" s="16"/>
      <c r="X7" s="16"/>
      <c r="Y7" s="16"/>
      <c r="Z7" s="16"/>
      <c r="AA7" s="16"/>
      <c r="AB7" s="16"/>
      <c r="AC7" s="16"/>
    </row>
    <row r="8" spans="1:29" s="18" customFormat="1" ht="12" customHeight="1">
      <c r="A8" s="63"/>
      <c r="B8" s="64"/>
      <c r="C8" s="64"/>
      <c r="D8" s="65" t="s">
        <v>25</v>
      </c>
      <c r="E8" s="68"/>
      <c r="F8" s="68"/>
      <c r="G8" s="64"/>
      <c r="H8" s="68"/>
      <c r="I8" s="65" t="s">
        <v>25</v>
      </c>
      <c r="J8" s="68"/>
      <c r="K8" s="68"/>
      <c r="L8" s="64"/>
      <c r="M8" s="68"/>
      <c r="N8" s="65" t="s">
        <v>25</v>
      </c>
      <c r="O8" s="68"/>
      <c r="P8" s="57"/>
      <c r="Q8" s="118"/>
      <c r="R8" s="57"/>
      <c r="S8" s="150"/>
      <c r="T8" s="36"/>
      <c r="U8" s="16"/>
      <c r="V8" s="16"/>
      <c r="W8" s="30"/>
      <c r="X8" s="16"/>
      <c r="Y8" s="16"/>
      <c r="Z8" s="16"/>
      <c r="AA8" s="30"/>
      <c r="AB8" s="16"/>
      <c r="AC8" s="16"/>
    </row>
    <row r="9" spans="1:29" s="19" customFormat="1" ht="13.5" customHeight="1">
      <c r="A9" s="119" t="s">
        <v>9</v>
      </c>
      <c r="B9" s="123">
        <v>18</v>
      </c>
      <c r="C9" s="120">
        <v>446</v>
      </c>
      <c r="D9" s="152">
        <v>39</v>
      </c>
      <c r="E9" s="121">
        <v>24.77777777777778</v>
      </c>
      <c r="F9" s="130"/>
      <c r="G9" s="123"/>
      <c r="H9" s="123"/>
      <c r="I9" s="153"/>
      <c r="J9" s="124"/>
      <c r="K9" s="130"/>
      <c r="L9" s="123">
        <v>18</v>
      </c>
      <c r="M9" s="123">
        <v>446</v>
      </c>
      <c r="N9" s="153">
        <v>39</v>
      </c>
      <c r="O9" s="121">
        <v>24.77777777777778</v>
      </c>
      <c r="P9" s="154"/>
      <c r="Q9" s="155"/>
      <c r="R9" s="155"/>
      <c r="S9" s="156"/>
      <c r="T9" s="32"/>
      <c r="U9" s="25"/>
      <c r="V9" s="31"/>
      <c r="W9" s="25"/>
      <c r="X9" s="25"/>
      <c r="Y9" s="25"/>
      <c r="Z9" s="31"/>
      <c r="AA9" s="25"/>
      <c r="AB9" s="25"/>
      <c r="AC9" s="25"/>
    </row>
    <row r="10" spans="1:29" s="19" customFormat="1" ht="11.25" customHeight="1">
      <c r="A10" s="119" t="s">
        <v>10</v>
      </c>
      <c r="B10" s="123">
        <v>38</v>
      </c>
      <c r="C10" s="120">
        <v>941</v>
      </c>
      <c r="D10" s="152">
        <v>125</v>
      </c>
      <c r="E10" s="121">
        <v>24.763157894736842</v>
      </c>
      <c r="F10" s="130"/>
      <c r="G10" s="123">
        <v>6</v>
      </c>
      <c r="H10" s="123">
        <v>150</v>
      </c>
      <c r="I10" s="153">
        <v>34</v>
      </c>
      <c r="J10" s="121">
        <v>25</v>
      </c>
      <c r="K10" s="130"/>
      <c r="L10" s="123">
        <v>44</v>
      </c>
      <c r="M10" s="123">
        <v>1091</v>
      </c>
      <c r="N10" s="153">
        <v>159</v>
      </c>
      <c r="O10" s="121">
        <v>24.795454545454547</v>
      </c>
      <c r="P10" s="154"/>
      <c r="Q10" s="155"/>
      <c r="R10" s="155"/>
      <c r="S10" s="156"/>
      <c r="T10" s="32"/>
      <c r="U10" s="25"/>
      <c r="V10" s="31"/>
      <c r="W10" s="25"/>
      <c r="X10" s="25"/>
      <c r="Y10" s="25"/>
      <c r="Z10" s="31"/>
      <c r="AA10" s="25"/>
      <c r="AB10" s="25"/>
      <c r="AC10" s="25"/>
    </row>
    <row r="11" spans="1:29" s="19" customFormat="1" ht="11.25" customHeight="1">
      <c r="A11" s="119" t="s">
        <v>11</v>
      </c>
      <c r="B11" s="123">
        <v>17</v>
      </c>
      <c r="C11" s="120">
        <v>422</v>
      </c>
      <c r="D11" s="152">
        <v>64</v>
      </c>
      <c r="E11" s="121">
        <v>24.823529411764707</v>
      </c>
      <c r="F11" s="130"/>
      <c r="G11" s="123">
        <v>3</v>
      </c>
      <c r="H11" s="123">
        <v>60</v>
      </c>
      <c r="I11" s="153">
        <v>19</v>
      </c>
      <c r="J11" s="121">
        <v>20</v>
      </c>
      <c r="K11" s="130"/>
      <c r="L11" s="123">
        <v>20</v>
      </c>
      <c r="M11" s="123">
        <v>482</v>
      </c>
      <c r="N11" s="153">
        <v>83</v>
      </c>
      <c r="O11" s="121">
        <v>24.1</v>
      </c>
      <c r="P11" s="154"/>
      <c r="Q11" s="155"/>
      <c r="R11" s="155"/>
      <c r="S11" s="156"/>
      <c r="T11" s="32"/>
      <c r="U11" s="25"/>
      <c r="V11" s="31"/>
      <c r="W11" s="25"/>
      <c r="X11" s="25"/>
      <c r="Y11" s="25"/>
      <c r="Z11" s="31"/>
      <c r="AA11" s="25"/>
      <c r="AB11" s="25"/>
      <c r="AC11" s="25"/>
    </row>
    <row r="12" spans="1:29" s="19" customFormat="1" ht="11.25" customHeight="1">
      <c r="A12" s="119" t="s">
        <v>12</v>
      </c>
      <c r="B12" s="123">
        <v>22</v>
      </c>
      <c r="C12" s="120">
        <v>557</v>
      </c>
      <c r="D12" s="152">
        <v>35</v>
      </c>
      <c r="E12" s="121">
        <v>25.318181818181817</v>
      </c>
      <c r="F12" s="130"/>
      <c r="G12" s="123"/>
      <c r="H12" s="123"/>
      <c r="I12" s="153"/>
      <c r="J12" s="121"/>
      <c r="K12" s="130"/>
      <c r="L12" s="123">
        <v>22</v>
      </c>
      <c r="M12" s="123">
        <v>557</v>
      </c>
      <c r="N12" s="153">
        <v>35</v>
      </c>
      <c r="O12" s="121">
        <v>25.318181818181817</v>
      </c>
      <c r="P12" s="154"/>
      <c r="Q12" s="155"/>
      <c r="R12" s="155"/>
      <c r="S12" s="156"/>
      <c r="T12" s="32"/>
      <c r="U12" s="25"/>
      <c r="V12" s="31"/>
      <c r="W12" s="25"/>
      <c r="X12" s="25"/>
      <c r="Y12" s="25"/>
      <c r="Z12" s="31"/>
      <c r="AA12" s="25"/>
      <c r="AB12" s="25"/>
      <c r="AC12" s="25"/>
    </row>
    <row r="13" spans="1:29" s="19" customFormat="1" ht="11.25" customHeight="1">
      <c r="A13" s="119" t="s">
        <v>13</v>
      </c>
      <c r="B13" s="123">
        <v>15</v>
      </c>
      <c r="C13" s="120">
        <v>366</v>
      </c>
      <c r="D13" s="152">
        <v>55</v>
      </c>
      <c r="E13" s="121">
        <v>24.4</v>
      </c>
      <c r="F13" s="130"/>
      <c r="G13" s="123">
        <v>9</v>
      </c>
      <c r="H13" s="123">
        <v>199</v>
      </c>
      <c r="I13" s="153">
        <v>37</v>
      </c>
      <c r="J13" s="121">
        <v>22.11111111111111</v>
      </c>
      <c r="K13" s="130"/>
      <c r="L13" s="123">
        <v>24</v>
      </c>
      <c r="M13" s="123">
        <v>565</v>
      </c>
      <c r="N13" s="153">
        <v>92</v>
      </c>
      <c r="O13" s="121">
        <v>23.541666666666668</v>
      </c>
      <c r="P13" s="154"/>
      <c r="Q13" s="155"/>
      <c r="R13" s="155"/>
      <c r="S13" s="156"/>
      <c r="T13" s="32"/>
      <c r="U13" s="25"/>
      <c r="V13" s="31"/>
      <c r="W13" s="25"/>
      <c r="X13" s="25"/>
      <c r="Y13" s="25"/>
      <c r="Z13" s="31"/>
      <c r="AA13" s="25"/>
      <c r="AB13" s="25"/>
      <c r="AC13" s="25"/>
    </row>
    <row r="14" spans="1:29" s="19" customFormat="1" ht="11.25" customHeight="1">
      <c r="A14" s="119" t="s">
        <v>14</v>
      </c>
      <c r="B14" s="146">
        <v>30</v>
      </c>
      <c r="C14" s="120">
        <v>730</v>
      </c>
      <c r="D14" s="152">
        <v>59</v>
      </c>
      <c r="E14" s="121">
        <v>24.333333333333332</v>
      </c>
      <c r="F14" s="130"/>
      <c r="G14" s="146">
        <v>5</v>
      </c>
      <c r="H14" s="123">
        <v>108</v>
      </c>
      <c r="I14" s="153">
        <v>4</v>
      </c>
      <c r="J14" s="121">
        <v>21.6</v>
      </c>
      <c r="K14" s="130"/>
      <c r="L14" s="123">
        <v>35</v>
      </c>
      <c r="M14" s="123">
        <v>838</v>
      </c>
      <c r="N14" s="153">
        <v>63</v>
      </c>
      <c r="O14" s="121">
        <v>23.942857142857143</v>
      </c>
      <c r="P14" s="154"/>
      <c r="Q14" s="155"/>
      <c r="R14" s="155"/>
      <c r="S14" s="156"/>
      <c r="T14" s="32"/>
      <c r="U14" s="25"/>
      <c r="V14" s="31"/>
      <c r="W14" s="25"/>
      <c r="X14" s="25"/>
      <c r="Y14" s="25"/>
      <c r="Z14" s="31"/>
      <c r="AA14" s="25"/>
      <c r="AB14" s="25"/>
      <c r="AC14" s="25"/>
    </row>
    <row r="15" spans="1:29" s="19" customFormat="1" ht="11.25" customHeight="1">
      <c r="A15" s="119" t="s">
        <v>15</v>
      </c>
      <c r="B15" s="123">
        <v>20</v>
      </c>
      <c r="C15" s="120">
        <v>494</v>
      </c>
      <c r="D15" s="152">
        <v>29</v>
      </c>
      <c r="E15" s="121">
        <v>24.7</v>
      </c>
      <c r="F15" s="130"/>
      <c r="G15" s="123">
        <v>10</v>
      </c>
      <c r="H15" s="123">
        <v>224</v>
      </c>
      <c r="I15" s="153">
        <v>36</v>
      </c>
      <c r="J15" s="121">
        <v>22.4</v>
      </c>
      <c r="K15" s="130"/>
      <c r="L15" s="123">
        <v>30</v>
      </c>
      <c r="M15" s="123">
        <v>718</v>
      </c>
      <c r="N15" s="153">
        <v>65</v>
      </c>
      <c r="O15" s="121">
        <v>23.933333333333334</v>
      </c>
      <c r="P15" s="154"/>
      <c r="Q15" s="155"/>
      <c r="R15" s="155"/>
      <c r="S15" s="158"/>
      <c r="T15" s="33"/>
      <c r="U15" s="25"/>
      <c r="V15" s="31"/>
      <c r="W15" s="25"/>
      <c r="X15" s="25"/>
      <c r="Y15" s="25"/>
      <c r="Z15" s="31"/>
      <c r="AA15" s="25"/>
      <c r="AB15" s="25"/>
      <c r="AC15" s="25"/>
    </row>
    <row r="16" spans="1:29" s="19" customFormat="1" ht="11.25" customHeight="1">
      <c r="A16" s="119" t="s">
        <v>16</v>
      </c>
      <c r="B16" s="123">
        <v>22</v>
      </c>
      <c r="C16" s="120">
        <v>544</v>
      </c>
      <c r="D16" s="152">
        <v>51</v>
      </c>
      <c r="E16" s="121">
        <v>24.727272727272727</v>
      </c>
      <c r="F16" s="130"/>
      <c r="G16" s="123">
        <v>2</v>
      </c>
      <c r="H16" s="123">
        <v>43</v>
      </c>
      <c r="I16" s="153">
        <v>19</v>
      </c>
      <c r="J16" s="121">
        <v>21.5</v>
      </c>
      <c r="K16" s="130"/>
      <c r="L16" s="123">
        <v>24</v>
      </c>
      <c r="M16" s="123">
        <v>587</v>
      </c>
      <c r="N16" s="153">
        <v>70</v>
      </c>
      <c r="O16" s="121">
        <v>24.458333333333332</v>
      </c>
      <c r="P16" s="154"/>
      <c r="Q16" s="155"/>
      <c r="R16" s="155"/>
      <c r="S16" s="156"/>
      <c r="T16" s="32"/>
      <c r="U16" s="25"/>
      <c r="V16" s="31"/>
      <c r="W16" s="25"/>
      <c r="X16" s="25"/>
      <c r="Y16" s="25"/>
      <c r="Z16" s="31"/>
      <c r="AA16" s="25"/>
      <c r="AB16" s="25"/>
      <c r="AC16" s="25"/>
    </row>
    <row r="17" spans="1:29" s="19" customFormat="1" ht="11.25" customHeight="1">
      <c r="A17" s="119" t="s">
        <v>17</v>
      </c>
      <c r="B17" s="123">
        <v>22</v>
      </c>
      <c r="C17" s="120">
        <v>549</v>
      </c>
      <c r="D17" s="152">
        <v>25</v>
      </c>
      <c r="E17" s="121">
        <v>24.954545454545453</v>
      </c>
      <c r="F17" s="130"/>
      <c r="G17" s="123">
        <v>14</v>
      </c>
      <c r="H17" s="123">
        <v>331</v>
      </c>
      <c r="I17" s="153">
        <v>24</v>
      </c>
      <c r="J17" s="121">
        <v>23.642857142857142</v>
      </c>
      <c r="K17" s="130"/>
      <c r="L17" s="123">
        <v>36</v>
      </c>
      <c r="M17" s="123">
        <v>880</v>
      </c>
      <c r="N17" s="153">
        <v>49</v>
      </c>
      <c r="O17" s="121">
        <v>24.444444444444443</v>
      </c>
      <c r="P17" s="154"/>
      <c r="Q17" s="155"/>
      <c r="R17" s="155"/>
      <c r="S17" s="156"/>
      <c r="T17" s="32"/>
      <c r="U17" s="25"/>
      <c r="V17" s="31"/>
      <c r="W17" s="25"/>
      <c r="X17" s="25"/>
      <c r="Y17" s="25"/>
      <c r="Z17" s="31"/>
      <c r="AA17" s="25"/>
      <c r="AB17" s="25"/>
      <c r="AC17" s="25"/>
    </row>
    <row r="18" spans="1:29" s="20" customFormat="1" ht="15" customHeight="1">
      <c r="A18" s="134" t="s">
        <v>18</v>
      </c>
      <c r="B18" s="90">
        <v>204</v>
      </c>
      <c r="C18" s="90">
        <v>5049</v>
      </c>
      <c r="D18" s="95">
        <v>482</v>
      </c>
      <c r="E18" s="135">
        <v>24.75</v>
      </c>
      <c r="F18" s="90"/>
      <c r="G18" s="90">
        <v>49</v>
      </c>
      <c r="H18" s="90">
        <v>1115</v>
      </c>
      <c r="I18" s="95">
        <v>173</v>
      </c>
      <c r="J18" s="135">
        <v>22.755102040816325</v>
      </c>
      <c r="K18" s="90"/>
      <c r="L18" s="90">
        <v>253</v>
      </c>
      <c r="M18" s="90">
        <v>6164</v>
      </c>
      <c r="N18" s="95">
        <v>655</v>
      </c>
      <c r="O18" s="135">
        <v>24.363636363636363</v>
      </c>
      <c r="P18" s="98"/>
      <c r="Q18" s="98"/>
      <c r="R18" s="98"/>
      <c r="S18" s="98"/>
      <c r="T18" s="37"/>
      <c r="U18" s="34"/>
      <c r="V18" s="34"/>
      <c r="W18" s="34"/>
      <c r="X18" s="34"/>
      <c r="Y18" s="34"/>
      <c r="Z18" s="34"/>
      <c r="AA18" s="34"/>
      <c r="AB18" s="34"/>
      <c r="AC18" s="34"/>
    </row>
    <row r="19" spans="1:19" s="26" customFormat="1" ht="11.25" customHeight="1">
      <c r="A19" s="105" t="s">
        <v>55</v>
      </c>
      <c r="B19" s="106"/>
      <c r="C19" s="107"/>
      <c r="D19" s="106"/>
      <c r="E19" s="106"/>
      <c r="F19" s="107"/>
      <c r="G19" s="107"/>
      <c r="H19" s="108"/>
      <c r="I19" s="108"/>
      <c r="J19" s="109"/>
      <c r="K19" s="106"/>
      <c r="L19" s="106"/>
      <c r="M19" s="106"/>
      <c r="N19" s="106"/>
      <c r="O19" s="106"/>
      <c r="P19" s="106"/>
      <c r="Q19" s="159"/>
      <c r="R19" s="159"/>
      <c r="S19" s="159"/>
    </row>
    <row r="20" spans="1:19" s="26" customFormat="1" ht="11.25" customHeight="1">
      <c r="A20" s="105" t="s">
        <v>26</v>
      </c>
      <c r="B20" s="106"/>
      <c r="C20" s="107"/>
      <c r="D20" s="106"/>
      <c r="E20" s="106"/>
      <c r="F20" s="107"/>
      <c r="G20" s="107"/>
      <c r="H20" s="108"/>
      <c r="I20" s="108"/>
      <c r="J20" s="109"/>
      <c r="K20" s="106"/>
      <c r="L20" s="106"/>
      <c r="M20" s="106"/>
      <c r="N20" s="106"/>
      <c r="O20" s="106"/>
      <c r="P20" s="106"/>
      <c r="Q20" s="159"/>
      <c r="R20" s="159"/>
      <c r="S20" s="159"/>
    </row>
    <row r="21" spans="1:28" ht="12">
      <c r="A21" s="144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22"/>
      <c r="U21" s="22"/>
      <c r="V21" s="22"/>
      <c r="W21" s="22"/>
      <c r="Z21" s="22"/>
      <c r="AB21" s="22"/>
    </row>
    <row r="22" spans="1:26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60"/>
      <c r="S22" s="160"/>
      <c r="T22" s="11"/>
      <c r="U22" s="10"/>
      <c r="V22" s="23"/>
      <c r="W22" s="22"/>
      <c r="Z22" s="23"/>
    </row>
    <row r="23" spans="1:26" ht="12">
      <c r="A23" s="145"/>
      <c r="B23" s="146"/>
      <c r="C23" s="146"/>
      <c r="D23" s="146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23"/>
      <c r="U23" s="23"/>
      <c r="V23" s="23"/>
      <c r="W23" s="23"/>
      <c r="X23" s="23"/>
      <c r="Y23" s="23"/>
      <c r="Z23" s="23"/>
    </row>
    <row r="24" spans="1:26" ht="12">
      <c r="A24" s="147"/>
      <c r="B24" s="146"/>
      <c r="C24" s="146"/>
      <c r="D24" s="146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24"/>
      <c r="U24" s="24"/>
      <c r="V24" s="24"/>
      <c r="W24" s="23"/>
      <c r="X24" s="23"/>
      <c r="Y24" s="23"/>
      <c r="Z24" s="24"/>
    </row>
    <row r="25" spans="1:25" ht="12">
      <c r="A25" s="147"/>
      <c r="B25" s="146"/>
      <c r="C25" s="146"/>
      <c r="D25" s="146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W25" s="24"/>
      <c r="X25" s="24"/>
      <c r="Y25" s="24"/>
    </row>
    <row r="26" spans="1:19" ht="12">
      <c r="A26" s="147"/>
      <c r="B26" s="146"/>
      <c r="C26" s="146"/>
      <c r="D26" s="146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</row>
    <row r="27" spans="1:19" ht="12">
      <c r="A27" s="147"/>
      <c r="B27" s="146"/>
      <c r="C27" s="146"/>
      <c r="D27" s="146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</row>
    <row r="28" spans="1:19" ht="12">
      <c r="A28" s="147"/>
      <c r="B28" s="146"/>
      <c r="C28" s="146"/>
      <c r="D28" s="146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</row>
    <row r="29" spans="1:19" ht="12">
      <c r="A29" s="147"/>
      <c r="B29" s="146"/>
      <c r="C29" s="146"/>
      <c r="D29" s="146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</row>
    <row r="30" spans="1:19" ht="12">
      <c r="A30" s="147"/>
      <c r="B30" s="146"/>
      <c r="C30" s="146"/>
      <c r="D30" s="146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1:19" ht="12">
      <c r="A31" s="147"/>
      <c r="B31" s="146"/>
      <c r="C31" s="146"/>
      <c r="D31" s="146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</row>
    <row r="32" spans="1:19" ht="12">
      <c r="A32" s="144"/>
      <c r="B32" s="146"/>
      <c r="C32" s="146"/>
      <c r="D32" s="146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1:19" ht="12">
      <c r="A33" s="132"/>
      <c r="B33" s="110"/>
      <c r="C33" s="110"/>
      <c r="D33" s="146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12">
      <c r="A34" s="144"/>
      <c r="B34" s="144"/>
      <c r="C34" s="144"/>
      <c r="D34" s="146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1:19" ht="12">
      <c r="A35" s="144"/>
      <c r="B35" s="144"/>
      <c r="C35" s="144"/>
      <c r="D35" s="146"/>
      <c r="E35" s="110"/>
      <c r="F35" s="144"/>
      <c r="G35" s="144"/>
      <c r="H35" s="144"/>
      <c r="I35" s="161"/>
      <c r="J35" s="144"/>
      <c r="K35" s="144"/>
      <c r="L35" s="144"/>
      <c r="M35" s="144"/>
      <c r="N35" s="144"/>
      <c r="O35" s="144"/>
      <c r="P35" s="144"/>
      <c r="Q35" s="144"/>
      <c r="R35" s="144"/>
      <c r="S35" s="144"/>
    </row>
    <row r="36" spans="1:19" ht="12">
      <c r="A36" s="144"/>
      <c r="B36" s="144"/>
      <c r="C36" s="144"/>
      <c r="D36" s="146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</row>
    <row r="37" spans="1:19" ht="12">
      <c r="A37" s="144"/>
      <c r="B37" s="144"/>
      <c r="C37" s="144"/>
      <c r="D37" s="146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12">
      <c r="A38" s="144"/>
      <c r="B38" s="144"/>
      <c r="C38" s="144"/>
      <c r="D38" s="146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12">
      <c r="A39" s="144"/>
      <c r="B39" s="144"/>
      <c r="C39" s="144"/>
      <c r="D39" s="146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1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12">
    <mergeCell ref="B3:O3"/>
    <mergeCell ref="Q3:AC3"/>
    <mergeCell ref="B4:E4"/>
    <mergeCell ref="G4:J4"/>
    <mergeCell ref="L4:O4"/>
    <mergeCell ref="Q4:U4"/>
    <mergeCell ref="X5:Y5"/>
    <mergeCell ref="AB5:AC5"/>
    <mergeCell ref="C5:E5"/>
    <mergeCell ref="H5:J5"/>
    <mergeCell ref="M5:O5"/>
    <mergeCell ref="R5:U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&amp;R400042.xls</oddHeader>
    <oddFooter>&amp;LComune di Bologna - Dipartimento Programmazione</oddFooter>
  </headerFooter>
  <ignoredErrors>
    <ignoredError sqref="D8:N1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3.00390625" style="21" customWidth="1"/>
    <col min="2" max="2" width="6.75390625" style="21" customWidth="1"/>
    <col min="3" max="3" width="7.125" style="21" customWidth="1"/>
    <col min="4" max="4" width="9.25390625" style="21" customWidth="1"/>
    <col min="5" max="5" width="8.875" style="21" customWidth="1"/>
    <col min="6" max="6" width="1.25" style="21" customWidth="1"/>
    <col min="7" max="7" width="6.75390625" style="21" customWidth="1"/>
    <col min="8" max="8" width="7.125" style="21" customWidth="1"/>
    <col min="9" max="9" width="9.25390625" style="21" customWidth="1"/>
    <col min="10" max="10" width="8.875" style="21" customWidth="1"/>
    <col min="11" max="11" width="1.25" style="21" customWidth="1"/>
    <col min="12" max="12" width="6.75390625" style="21" customWidth="1"/>
    <col min="13" max="13" width="7.25390625" style="21" customWidth="1"/>
    <col min="14" max="15" width="9.25390625" style="21" customWidth="1"/>
    <col min="16" max="16" width="1.875" style="21" customWidth="1"/>
    <col min="17" max="17" width="6.75390625" style="21" customWidth="1"/>
    <col min="18" max="18" width="7.00390625" style="21" customWidth="1"/>
    <col min="19" max="19" width="11.125" style="21" customWidth="1"/>
    <col min="20" max="20" width="8.875" style="21" customWidth="1"/>
    <col min="21" max="21" width="1.25" style="21" customWidth="1"/>
    <col min="22" max="22" width="6.75390625" style="21" customWidth="1"/>
    <col min="23" max="23" width="6.875" style="21" customWidth="1"/>
    <col min="24" max="24" width="8.875" style="21" customWidth="1"/>
    <col min="25" max="25" width="1.25" style="21" customWidth="1"/>
    <col min="26" max="26" width="6.75390625" style="21" customWidth="1"/>
    <col min="27" max="27" width="6.875" style="21" customWidth="1"/>
    <col min="28" max="28" width="8.875" style="21" customWidth="1"/>
    <col min="29" max="16384" width="10.625" style="21" customWidth="1"/>
  </cols>
  <sheetData>
    <row r="1" spans="1:25" s="13" customFormat="1" ht="15" customHeight="1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2"/>
      <c r="U1" s="12"/>
      <c r="V1" s="12"/>
      <c r="W1" s="12"/>
      <c r="X1" s="12"/>
      <c r="Y1" s="12"/>
    </row>
    <row r="2" spans="1:25" s="13" customFormat="1" ht="15" customHeight="1">
      <c r="A2" s="52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</row>
    <row r="3" spans="1:28" s="14" customFormat="1" ht="12" customHeight="1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12"/>
      <c r="Q3" s="112"/>
      <c r="R3" s="207"/>
      <c r="S3" s="207"/>
      <c r="T3" s="208"/>
      <c r="U3" s="208"/>
      <c r="V3" s="208"/>
      <c r="W3" s="208"/>
      <c r="X3" s="208"/>
      <c r="Y3" s="208"/>
      <c r="Z3" s="208"/>
      <c r="AA3" s="208"/>
      <c r="AB3" s="208"/>
    </row>
    <row r="4" spans="1:28" s="14" customFormat="1" ht="12" customHeight="1">
      <c r="A4" s="54"/>
      <c r="B4" s="149"/>
      <c r="C4" s="149" t="s">
        <v>2</v>
      </c>
      <c r="D4" s="149"/>
      <c r="E4" s="149"/>
      <c r="F4" s="114"/>
      <c r="G4" s="55"/>
      <c r="H4" s="55"/>
      <c r="I4" s="55" t="s">
        <v>3</v>
      </c>
      <c r="J4" s="55"/>
      <c r="K4" s="114"/>
      <c r="L4" s="55"/>
      <c r="M4" s="55"/>
      <c r="N4" s="55" t="s">
        <v>20</v>
      </c>
      <c r="O4" s="55"/>
      <c r="P4" s="114"/>
      <c r="Q4" s="209"/>
      <c r="R4" s="209"/>
      <c r="S4" s="209"/>
      <c r="T4" s="210"/>
      <c r="U4" s="15"/>
      <c r="V4" s="28"/>
      <c r="W4" s="28"/>
      <c r="X4" s="28"/>
      <c r="Y4" s="15"/>
      <c r="Z4" s="28"/>
      <c r="AA4" s="28"/>
      <c r="AB4" s="28"/>
    </row>
    <row r="5" spans="1:28" s="14" customFormat="1" ht="12" customHeight="1">
      <c r="A5" s="56"/>
      <c r="B5" s="57" t="s">
        <v>4</v>
      </c>
      <c r="C5" s="202" t="s">
        <v>5</v>
      </c>
      <c r="D5" s="202"/>
      <c r="E5" s="202"/>
      <c r="F5" s="116"/>
      <c r="G5" s="57" t="s">
        <v>4</v>
      </c>
      <c r="H5" s="202" t="s">
        <v>5</v>
      </c>
      <c r="I5" s="202"/>
      <c r="J5" s="202"/>
      <c r="K5" s="116"/>
      <c r="L5" s="57" t="s">
        <v>4</v>
      </c>
      <c r="M5" s="202" t="s">
        <v>5</v>
      </c>
      <c r="N5" s="202"/>
      <c r="O5" s="202"/>
      <c r="P5" s="116"/>
      <c r="Q5" s="57"/>
      <c r="R5" s="211"/>
      <c r="S5" s="211"/>
      <c r="T5" s="212"/>
      <c r="U5" s="17"/>
      <c r="V5" s="16"/>
      <c r="W5" s="212"/>
      <c r="X5" s="212"/>
      <c r="Y5" s="17"/>
      <c r="Z5" s="16"/>
      <c r="AA5" s="212"/>
      <c r="AB5" s="212"/>
    </row>
    <row r="6" spans="1:28" s="18" customFormat="1" ht="12" customHeight="1">
      <c r="A6" s="56"/>
      <c r="B6" s="58"/>
      <c r="C6" s="58" t="s">
        <v>6</v>
      </c>
      <c r="D6" s="59" t="s">
        <v>19</v>
      </c>
      <c r="E6" s="58" t="s">
        <v>7</v>
      </c>
      <c r="F6" s="58"/>
      <c r="G6" s="58"/>
      <c r="H6" s="58" t="s">
        <v>6</v>
      </c>
      <c r="I6" s="59" t="s">
        <v>19</v>
      </c>
      <c r="J6" s="58" t="s">
        <v>7</v>
      </c>
      <c r="K6" s="58"/>
      <c r="L6" s="58"/>
      <c r="M6" s="58" t="s">
        <v>6</v>
      </c>
      <c r="N6" s="59" t="s">
        <v>19</v>
      </c>
      <c r="O6" s="58" t="s">
        <v>7</v>
      </c>
      <c r="P6" s="57"/>
      <c r="Q6" s="57"/>
      <c r="R6" s="57"/>
      <c r="S6" s="150"/>
      <c r="T6" s="16"/>
      <c r="U6" s="16"/>
      <c r="V6" s="16"/>
      <c r="W6" s="16"/>
      <c r="X6" s="16"/>
      <c r="Y6" s="16"/>
      <c r="Z6" s="16"/>
      <c r="AA6" s="16"/>
      <c r="AB6" s="16"/>
    </row>
    <row r="7" spans="1:28" s="18" customFormat="1" ht="12" customHeight="1">
      <c r="A7" s="56"/>
      <c r="B7" s="58"/>
      <c r="C7" s="58"/>
      <c r="D7" s="59" t="s">
        <v>23</v>
      </c>
      <c r="E7" s="58" t="s">
        <v>8</v>
      </c>
      <c r="F7" s="58"/>
      <c r="G7" s="58"/>
      <c r="H7" s="58"/>
      <c r="I7" s="59" t="s">
        <v>23</v>
      </c>
      <c r="J7" s="58" t="s">
        <v>8</v>
      </c>
      <c r="K7" s="58"/>
      <c r="L7" s="58"/>
      <c r="M7" s="58"/>
      <c r="N7" s="59" t="s">
        <v>23</v>
      </c>
      <c r="O7" s="58" t="s">
        <v>8</v>
      </c>
      <c r="P7" s="57"/>
      <c r="Q7" s="57"/>
      <c r="R7" s="57"/>
      <c r="S7" s="150"/>
      <c r="T7" s="16"/>
      <c r="U7" s="16"/>
      <c r="V7" s="16"/>
      <c r="W7" s="16"/>
      <c r="X7" s="16"/>
      <c r="Y7" s="16"/>
      <c r="Z7" s="16"/>
      <c r="AA7" s="16"/>
      <c r="AB7" s="16"/>
    </row>
    <row r="8" spans="1:28" s="18" customFormat="1" ht="12" customHeight="1">
      <c r="A8" s="63"/>
      <c r="B8" s="64"/>
      <c r="C8" s="64"/>
      <c r="D8" s="65" t="s">
        <v>25</v>
      </c>
      <c r="E8" s="68"/>
      <c r="F8" s="68"/>
      <c r="G8" s="64"/>
      <c r="H8" s="64"/>
      <c r="I8" s="65" t="s">
        <v>25</v>
      </c>
      <c r="J8" s="68"/>
      <c r="K8" s="68"/>
      <c r="L8" s="64"/>
      <c r="M8" s="64"/>
      <c r="N8" s="65" t="s">
        <v>25</v>
      </c>
      <c r="O8" s="68"/>
      <c r="P8" s="57"/>
      <c r="Q8" s="118"/>
      <c r="R8" s="118"/>
      <c r="S8" s="151"/>
      <c r="T8" s="16"/>
      <c r="U8" s="16"/>
      <c r="V8" s="30"/>
      <c r="W8" s="30"/>
      <c r="X8" s="16"/>
      <c r="Y8" s="16"/>
      <c r="Z8" s="30"/>
      <c r="AA8" s="30"/>
      <c r="AB8" s="16"/>
    </row>
    <row r="9" spans="1:28" s="19" customFormat="1" ht="13.5" customHeight="1">
      <c r="A9" s="119" t="s">
        <v>9</v>
      </c>
      <c r="B9" s="123">
        <v>18</v>
      </c>
      <c r="C9" s="120">
        <v>446</v>
      </c>
      <c r="D9" s="152">
        <v>31</v>
      </c>
      <c r="E9" s="121">
        <v>24.77777777777778</v>
      </c>
      <c r="F9" s="130"/>
      <c r="G9" s="123"/>
      <c r="H9" s="123"/>
      <c r="I9" s="153"/>
      <c r="J9" s="124"/>
      <c r="K9" s="130"/>
      <c r="L9" s="123">
        <v>18</v>
      </c>
      <c r="M9" s="123">
        <v>446</v>
      </c>
      <c r="N9" s="153">
        <v>31</v>
      </c>
      <c r="O9" s="121">
        <v>24.77777777777778</v>
      </c>
      <c r="P9" s="154"/>
      <c r="Q9" s="155"/>
      <c r="R9" s="155"/>
      <c r="S9" s="156"/>
      <c r="T9" s="25"/>
      <c r="U9" s="31"/>
      <c r="V9" s="25"/>
      <c r="W9" s="25"/>
      <c r="X9" s="25"/>
      <c r="Y9" s="31"/>
      <c r="Z9" s="25"/>
      <c r="AA9" s="25"/>
      <c r="AB9" s="25"/>
    </row>
    <row r="10" spans="1:28" s="19" customFormat="1" ht="11.25" customHeight="1">
      <c r="A10" s="119" t="s">
        <v>10</v>
      </c>
      <c r="B10" s="123">
        <v>38</v>
      </c>
      <c r="C10" s="120">
        <v>923</v>
      </c>
      <c r="D10" s="152">
        <v>129</v>
      </c>
      <c r="E10" s="121">
        <v>24.289473684210527</v>
      </c>
      <c r="F10" s="130"/>
      <c r="G10" s="123">
        <v>6</v>
      </c>
      <c r="H10" s="123">
        <v>146</v>
      </c>
      <c r="I10" s="153">
        <v>34</v>
      </c>
      <c r="J10" s="121">
        <f>+H10/G10</f>
        <v>24.333333333333332</v>
      </c>
      <c r="K10" s="130"/>
      <c r="L10" s="123">
        <v>44</v>
      </c>
      <c r="M10" s="123">
        <v>1069</v>
      </c>
      <c r="N10" s="153">
        <v>163</v>
      </c>
      <c r="O10" s="121">
        <v>24.295454545454547</v>
      </c>
      <c r="P10" s="154"/>
      <c r="Q10" s="155"/>
      <c r="R10" s="155"/>
      <c r="S10" s="156"/>
      <c r="T10" s="25"/>
      <c r="U10" s="31"/>
      <c r="V10" s="25"/>
      <c r="W10" s="25"/>
      <c r="X10" s="25"/>
      <c r="Y10" s="31"/>
      <c r="Z10" s="25"/>
      <c r="AA10" s="25"/>
      <c r="AB10" s="25"/>
    </row>
    <row r="11" spans="1:28" s="19" customFormat="1" ht="11.25" customHeight="1">
      <c r="A11" s="119" t="s">
        <v>11</v>
      </c>
      <c r="B11" s="123">
        <v>17</v>
      </c>
      <c r="C11" s="120">
        <v>404</v>
      </c>
      <c r="D11" s="152">
        <v>64</v>
      </c>
      <c r="E11" s="121">
        <v>23.764705882352942</v>
      </c>
      <c r="F11" s="130"/>
      <c r="G11" s="123">
        <v>2</v>
      </c>
      <c r="H11" s="123">
        <v>50</v>
      </c>
      <c r="I11" s="153">
        <v>24</v>
      </c>
      <c r="J11" s="121">
        <f aca="true" t="shared" si="0" ref="J11:J17">+H11/G11</f>
        <v>25</v>
      </c>
      <c r="K11" s="130"/>
      <c r="L11" s="123">
        <v>19</v>
      </c>
      <c r="M11" s="123">
        <v>454</v>
      </c>
      <c r="N11" s="153">
        <v>88</v>
      </c>
      <c r="O11" s="121">
        <v>23.894736842105264</v>
      </c>
      <c r="P11" s="154"/>
      <c r="Q11" s="155"/>
      <c r="R11" s="155"/>
      <c r="S11" s="156"/>
      <c r="T11" s="25"/>
      <c r="U11" s="31"/>
      <c r="V11" s="25"/>
      <c r="W11" s="25"/>
      <c r="X11" s="25"/>
      <c r="Y11" s="31"/>
      <c r="Z11" s="25"/>
      <c r="AA11" s="25"/>
      <c r="AB11" s="25"/>
    </row>
    <row r="12" spans="1:28" s="19" customFormat="1" ht="11.25" customHeight="1">
      <c r="A12" s="119" t="s">
        <v>12</v>
      </c>
      <c r="B12" s="123">
        <v>22</v>
      </c>
      <c r="C12" s="120">
        <v>547</v>
      </c>
      <c r="D12" s="152">
        <v>37</v>
      </c>
      <c r="E12" s="121">
        <v>24.863636363636363</v>
      </c>
      <c r="F12" s="130"/>
      <c r="G12" s="123"/>
      <c r="H12" s="123"/>
      <c r="I12" s="153"/>
      <c r="J12" s="121"/>
      <c r="K12" s="130"/>
      <c r="L12" s="123">
        <v>22</v>
      </c>
      <c r="M12" s="123">
        <v>547</v>
      </c>
      <c r="N12" s="153">
        <v>37</v>
      </c>
      <c r="O12" s="121">
        <v>24.863636363636363</v>
      </c>
      <c r="P12" s="154"/>
      <c r="Q12" s="155"/>
      <c r="R12" s="155"/>
      <c r="S12" s="156"/>
      <c r="T12" s="25"/>
      <c r="U12" s="31"/>
      <c r="V12" s="25"/>
      <c r="W12" s="25"/>
      <c r="X12" s="25"/>
      <c r="Y12" s="31"/>
      <c r="Z12" s="25"/>
      <c r="AA12" s="25"/>
      <c r="AB12" s="25"/>
    </row>
    <row r="13" spans="1:28" s="19" customFormat="1" ht="11.25" customHeight="1">
      <c r="A13" s="119" t="s">
        <v>13</v>
      </c>
      <c r="B13" s="123">
        <v>15</v>
      </c>
      <c r="C13" s="120">
        <v>368</v>
      </c>
      <c r="D13" s="152">
        <v>53</v>
      </c>
      <c r="E13" s="121">
        <v>24.533333333333335</v>
      </c>
      <c r="F13" s="130"/>
      <c r="G13" s="123">
        <v>9</v>
      </c>
      <c r="H13" s="123">
        <v>224</v>
      </c>
      <c r="I13" s="153">
        <v>30</v>
      </c>
      <c r="J13" s="121">
        <f t="shared" si="0"/>
        <v>24.88888888888889</v>
      </c>
      <c r="K13" s="130"/>
      <c r="L13" s="123">
        <v>24</v>
      </c>
      <c r="M13" s="123">
        <v>592</v>
      </c>
      <c r="N13" s="153">
        <v>83</v>
      </c>
      <c r="O13" s="121">
        <v>24.666666666666668</v>
      </c>
      <c r="P13" s="154"/>
      <c r="Q13" s="155"/>
      <c r="R13" s="155"/>
      <c r="S13" s="156"/>
      <c r="T13" s="25"/>
      <c r="U13" s="31"/>
      <c r="V13" s="25"/>
      <c r="W13" s="25"/>
      <c r="X13" s="25"/>
      <c r="Y13" s="31"/>
      <c r="Z13" s="25"/>
      <c r="AA13" s="25"/>
      <c r="AB13" s="25"/>
    </row>
    <row r="14" spans="1:28" s="19" customFormat="1" ht="11.25" customHeight="1">
      <c r="A14" s="119" t="s">
        <v>14</v>
      </c>
      <c r="B14" s="146">
        <v>30</v>
      </c>
      <c r="C14" s="120">
        <v>748</v>
      </c>
      <c r="D14" s="152">
        <v>51</v>
      </c>
      <c r="E14" s="121">
        <v>24.933333333333334</v>
      </c>
      <c r="F14" s="130"/>
      <c r="G14" s="146">
        <v>3</v>
      </c>
      <c r="H14" s="123">
        <v>72</v>
      </c>
      <c r="I14" s="153">
        <v>8</v>
      </c>
      <c r="J14" s="121">
        <f t="shared" si="0"/>
        <v>24</v>
      </c>
      <c r="K14" s="130"/>
      <c r="L14" s="123">
        <v>33</v>
      </c>
      <c r="M14" s="123">
        <v>820</v>
      </c>
      <c r="N14" s="153">
        <v>59</v>
      </c>
      <c r="O14" s="121">
        <v>24.848484848484848</v>
      </c>
      <c r="P14" s="154"/>
      <c r="Q14" s="157"/>
      <c r="R14" s="157"/>
      <c r="S14" s="156"/>
      <c r="T14" s="25"/>
      <c r="U14" s="31"/>
      <c r="V14" s="25"/>
      <c r="W14" s="25"/>
      <c r="X14" s="25"/>
      <c r="Y14" s="31"/>
      <c r="Z14" s="25"/>
      <c r="AA14" s="25"/>
      <c r="AB14" s="25"/>
    </row>
    <row r="15" spans="1:28" s="19" customFormat="1" ht="11.25" customHeight="1">
      <c r="A15" s="119" t="s">
        <v>15</v>
      </c>
      <c r="B15" s="123">
        <v>20</v>
      </c>
      <c r="C15" s="120">
        <v>488</v>
      </c>
      <c r="D15" s="152">
        <v>46</v>
      </c>
      <c r="E15" s="121">
        <v>24.4</v>
      </c>
      <c r="F15" s="130"/>
      <c r="G15" s="123">
        <v>11</v>
      </c>
      <c r="H15" s="123">
        <v>235</v>
      </c>
      <c r="I15" s="153">
        <v>46</v>
      </c>
      <c r="J15" s="121">
        <f t="shared" si="0"/>
        <v>21.363636363636363</v>
      </c>
      <c r="K15" s="130"/>
      <c r="L15" s="123">
        <v>31</v>
      </c>
      <c r="M15" s="123">
        <v>723</v>
      </c>
      <c r="N15" s="153">
        <v>92</v>
      </c>
      <c r="O15" s="121">
        <v>23.322580645161292</v>
      </c>
      <c r="P15" s="154"/>
      <c r="Q15" s="155"/>
      <c r="R15" s="155"/>
      <c r="S15" s="158"/>
      <c r="T15" s="25"/>
      <c r="U15" s="31"/>
      <c r="V15" s="25"/>
      <c r="W15" s="25"/>
      <c r="X15" s="25"/>
      <c r="Y15" s="31"/>
      <c r="Z15" s="25"/>
      <c r="AA15" s="25"/>
      <c r="AB15" s="25"/>
    </row>
    <row r="16" spans="1:28" s="19" customFormat="1" ht="11.25" customHeight="1">
      <c r="A16" s="119" t="s">
        <v>16</v>
      </c>
      <c r="B16" s="123">
        <v>21</v>
      </c>
      <c r="C16" s="120">
        <v>506</v>
      </c>
      <c r="D16" s="152">
        <v>39</v>
      </c>
      <c r="E16" s="121">
        <v>24.095238095238095</v>
      </c>
      <c r="F16" s="130"/>
      <c r="G16" s="123">
        <v>2</v>
      </c>
      <c r="H16" s="123">
        <v>48</v>
      </c>
      <c r="I16" s="153">
        <v>12</v>
      </c>
      <c r="J16" s="121">
        <f t="shared" si="0"/>
        <v>24</v>
      </c>
      <c r="K16" s="130"/>
      <c r="L16" s="123">
        <v>23</v>
      </c>
      <c r="M16" s="123">
        <v>554</v>
      </c>
      <c r="N16" s="153">
        <v>51</v>
      </c>
      <c r="O16" s="121">
        <v>24.08695652173913</v>
      </c>
      <c r="P16" s="154"/>
      <c r="Q16" s="155"/>
      <c r="R16" s="155"/>
      <c r="S16" s="156"/>
      <c r="T16" s="25"/>
      <c r="U16" s="31"/>
      <c r="V16" s="25"/>
      <c r="W16" s="25"/>
      <c r="X16" s="25"/>
      <c r="Y16" s="31"/>
      <c r="Z16" s="25"/>
      <c r="AA16" s="25"/>
      <c r="AB16" s="25"/>
    </row>
    <row r="17" spans="1:28" s="19" customFormat="1" ht="11.25" customHeight="1">
      <c r="A17" s="119" t="s">
        <v>17</v>
      </c>
      <c r="B17" s="123">
        <v>31</v>
      </c>
      <c r="C17" s="120">
        <v>768</v>
      </c>
      <c r="D17" s="152">
        <v>33</v>
      </c>
      <c r="E17" s="121">
        <v>24.774193548387096</v>
      </c>
      <c r="F17" s="130"/>
      <c r="G17" s="123">
        <v>4</v>
      </c>
      <c r="H17" s="123">
        <v>73</v>
      </c>
      <c r="I17" s="153">
        <v>9</v>
      </c>
      <c r="J17" s="121">
        <f t="shared" si="0"/>
        <v>18.25</v>
      </c>
      <c r="K17" s="130"/>
      <c r="L17" s="123">
        <v>35</v>
      </c>
      <c r="M17" s="123">
        <v>841</v>
      </c>
      <c r="N17" s="153">
        <v>42</v>
      </c>
      <c r="O17" s="121">
        <v>24.02857142857143</v>
      </c>
      <c r="P17" s="154"/>
      <c r="Q17" s="155"/>
      <c r="R17" s="155"/>
      <c r="S17" s="156"/>
      <c r="T17" s="25"/>
      <c r="U17" s="31"/>
      <c r="V17" s="25"/>
      <c r="W17" s="25"/>
      <c r="X17" s="25"/>
      <c r="Y17" s="31"/>
      <c r="Z17" s="25"/>
      <c r="AA17" s="25"/>
      <c r="AB17" s="25"/>
    </row>
    <row r="18" spans="1:28" s="20" customFormat="1" ht="15" customHeight="1">
      <c r="A18" s="134" t="s">
        <v>18</v>
      </c>
      <c r="B18" s="90">
        <v>212</v>
      </c>
      <c r="C18" s="90">
        <v>5198</v>
      </c>
      <c r="D18" s="95">
        <v>483</v>
      </c>
      <c r="E18" s="135">
        <v>24.5188679245283</v>
      </c>
      <c r="F18" s="90"/>
      <c r="G18" s="90">
        <v>37</v>
      </c>
      <c r="H18" s="90">
        <f>SUM(H10:H17)</f>
        <v>848</v>
      </c>
      <c r="I18" s="95">
        <v>163</v>
      </c>
      <c r="J18" s="135">
        <f>+H18/G18</f>
        <v>22.91891891891892</v>
      </c>
      <c r="K18" s="90"/>
      <c r="L18" s="90">
        <v>249</v>
      </c>
      <c r="M18" s="90">
        <f>+C18+H18</f>
        <v>6046</v>
      </c>
      <c r="N18" s="95">
        <v>646</v>
      </c>
      <c r="O18" s="135">
        <f>+M18/L18</f>
        <v>24.281124497991968</v>
      </c>
      <c r="P18" s="98"/>
      <c r="Q18" s="98"/>
      <c r="R18" s="98"/>
      <c r="S18" s="142"/>
      <c r="T18" s="38"/>
      <c r="U18" s="34"/>
      <c r="V18" s="34"/>
      <c r="W18" s="34"/>
      <c r="X18" s="34"/>
      <c r="Y18" s="34"/>
      <c r="Z18" s="34"/>
      <c r="AA18" s="34"/>
      <c r="AB18" s="34"/>
    </row>
    <row r="19" spans="1:19" s="26" customFormat="1" ht="11.25" customHeight="1">
      <c r="A19" s="105" t="s">
        <v>55</v>
      </c>
      <c r="B19" s="106"/>
      <c r="C19" s="107"/>
      <c r="D19" s="106"/>
      <c r="E19" s="106"/>
      <c r="F19" s="107"/>
      <c r="G19" s="107"/>
      <c r="H19" s="108"/>
      <c r="I19" s="108"/>
      <c r="J19" s="109"/>
      <c r="K19" s="106"/>
      <c r="L19" s="106"/>
      <c r="M19" s="106"/>
      <c r="N19" s="106"/>
      <c r="O19" s="106"/>
      <c r="P19" s="106"/>
      <c r="Q19" s="159"/>
      <c r="R19" s="159"/>
      <c r="S19" s="159"/>
    </row>
    <row r="20" spans="1:19" s="26" customFormat="1" ht="11.25" customHeight="1">
      <c r="A20" s="105" t="s">
        <v>26</v>
      </c>
      <c r="B20" s="106"/>
      <c r="C20" s="107"/>
      <c r="D20" s="106"/>
      <c r="E20" s="106"/>
      <c r="F20" s="107"/>
      <c r="G20" s="107"/>
      <c r="H20" s="108"/>
      <c r="I20" s="108"/>
      <c r="J20" s="109"/>
      <c r="K20" s="106"/>
      <c r="L20" s="106"/>
      <c r="M20" s="106"/>
      <c r="N20" s="106"/>
      <c r="O20" s="106"/>
      <c r="P20" s="106"/>
      <c r="Q20" s="159"/>
      <c r="R20" s="159"/>
      <c r="S20" s="159"/>
    </row>
    <row r="21" spans="1:27" ht="12">
      <c r="A21" s="144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22"/>
      <c r="U21" s="22"/>
      <c r="V21" s="22"/>
      <c r="Y21" s="22"/>
      <c r="AA21" s="22"/>
    </row>
    <row r="22" spans="1:25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60"/>
      <c r="S22" s="160"/>
      <c r="T22" s="10"/>
      <c r="U22" s="23"/>
      <c r="V22" s="22"/>
      <c r="Y22" s="23"/>
    </row>
    <row r="23" spans="1:25" ht="12">
      <c r="A23" s="145"/>
      <c r="B23" s="146"/>
      <c r="C23" s="146"/>
      <c r="D23" s="146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23"/>
      <c r="U23" s="23"/>
      <c r="V23" s="23"/>
      <c r="W23" s="23"/>
      <c r="X23" s="23"/>
      <c r="Y23" s="23"/>
    </row>
    <row r="24" spans="1:25" ht="12">
      <c r="A24" s="147"/>
      <c r="B24" s="146"/>
      <c r="C24" s="146"/>
      <c r="D24" s="146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24"/>
      <c r="U24" s="24"/>
      <c r="V24" s="23"/>
      <c r="W24" s="23"/>
      <c r="X24" s="23"/>
      <c r="Y24" s="24"/>
    </row>
    <row r="25" spans="1:24" ht="12">
      <c r="A25" s="147"/>
      <c r="B25" s="146"/>
      <c r="C25" s="146"/>
      <c r="D25" s="146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V25" s="24"/>
      <c r="W25" s="24"/>
      <c r="X25" s="24"/>
    </row>
    <row r="26" spans="1:19" ht="12">
      <c r="A26" s="147"/>
      <c r="B26" s="146"/>
      <c r="C26" s="146"/>
      <c r="D26" s="146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</row>
    <row r="27" spans="1:19" ht="12">
      <c r="A27" s="147"/>
      <c r="B27" s="146"/>
      <c r="C27" s="146"/>
      <c r="D27" s="146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</row>
    <row r="28" spans="1:19" ht="12">
      <c r="A28" s="147"/>
      <c r="B28" s="146"/>
      <c r="C28" s="146"/>
      <c r="D28" s="146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</row>
    <row r="29" spans="1:19" ht="12">
      <c r="A29" s="147"/>
      <c r="B29" s="146"/>
      <c r="C29" s="146"/>
      <c r="D29" s="146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</row>
    <row r="30" spans="1:19" ht="12">
      <c r="A30" s="147"/>
      <c r="B30" s="146"/>
      <c r="C30" s="146"/>
      <c r="D30" s="146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1:19" ht="12">
      <c r="A31" s="147"/>
      <c r="B31" s="146"/>
      <c r="C31" s="146"/>
      <c r="D31" s="146"/>
      <c r="E31" s="144"/>
      <c r="F31" s="144"/>
      <c r="G31" s="144"/>
      <c r="H31" s="144"/>
      <c r="I31" s="144"/>
      <c r="J31" s="161"/>
      <c r="K31" s="144"/>
      <c r="L31" s="144"/>
      <c r="M31" s="144"/>
      <c r="N31" s="144"/>
      <c r="O31" s="144"/>
      <c r="P31" s="144"/>
      <c r="Q31" s="144"/>
      <c r="R31" s="144"/>
      <c r="S31" s="144"/>
    </row>
    <row r="32" spans="1:19" ht="12">
      <c r="A32" s="144"/>
      <c r="B32" s="146"/>
      <c r="C32" s="146"/>
      <c r="D32" s="146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1:19" ht="12">
      <c r="A33" s="132"/>
      <c r="B33" s="110"/>
      <c r="C33" s="110"/>
      <c r="D33" s="146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12">
      <c r="A34" s="144"/>
      <c r="B34" s="144"/>
      <c r="C34" s="144"/>
      <c r="D34" s="146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1:19" ht="12">
      <c r="A35" s="144"/>
      <c r="B35" s="144"/>
      <c r="C35" s="144"/>
      <c r="D35" s="146"/>
      <c r="E35" s="110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</row>
    <row r="36" spans="1:19" ht="12">
      <c r="A36" s="144"/>
      <c r="B36" s="144"/>
      <c r="C36" s="144"/>
      <c r="D36" s="146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</row>
    <row r="37" spans="1:19" ht="12">
      <c r="A37" s="144"/>
      <c r="B37" s="144"/>
      <c r="C37" s="144"/>
      <c r="D37" s="146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12">
      <c r="A38" s="144"/>
      <c r="B38" s="144"/>
      <c r="C38" s="144"/>
      <c r="D38" s="146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12">
      <c r="A39" s="144"/>
      <c r="B39" s="144"/>
      <c r="C39" s="144"/>
      <c r="D39" s="146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1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9">
    <mergeCell ref="B3:O3"/>
    <mergeCell ref="R3:AB3"/>
    <mergeCell ref="Q4:T4"/>
    <mergeCell ref="C5:E5"/>
    <mergeCell ref="H5:J5"/>
    <mergeCell ref="M5:O5"/>
    <mergeCell ref="R5:T5"/>
    <mergeCell ref="W5:X5"/>
    <mergeCell ref="AA5:AB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&amp;R400042.xls</oddHeader>
    <oddFooter>&amp;LComune di Bologna - Dipartimento Programmazione</oddFooter>
  </headerFooter>
  <ignoredErrors>
    <ignoredError sqref="D8:N9 D10:I17 K10:N17 D18:G18" numberStoredAsText="1"/>
    <ignoredError sqref="J10:J18 K18:N18 H18:I18" numberStoredAsText="1" unlockedFormula="1"/>
    <ignoredError sqref="O18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7.875" style="1" customWidth="1"/>
    <col min="3" max="4" width="8.875" style="1" customWidth="1"/>
    <col min="5" max="5" width="2.125" style="1" customWidth="1"/>
    <col min="6" max="6" width="7.875" style="1" customWidth="1"/>
    <col min="7" max="8" width="8.875" style="1" customWidth="1"/>
    <col min="9" max="9" width="2.125" style="1" customWidth="1"/>
    <col min="10" max="10" width="7.875" style="1" customWidth="1"/>
    <col min="11" max="12" width="8.875" style="1" customWidth="1"/>
    <col min="13" max="13" width="2.125" style="1" customWidth="1"/>
    <col min="14" max="14" width="8.125" style="1" customWidth="1"/>
    <col min="15" max="16" width="8.875" style="1" customWidth="1"/>
    <col min="17" max="17" width="2.125" style="1" customWidth="1"/>
    <col min="18" max="18" width="7.875" style="1" customWidth="1"/>
    <col min="19" max="20" width="8.875" style="1" customWidth="1"/>
    <col min="21" max="21" width="2.125" style="1" customWidth="1"/>
    <col min="22" max="22" width="7.875" style="1" customWidth="1"/>
    <col min="23" max="24" width="8.875" style="1" customWidth="1"/>
    <col min="25" max="16384" width="10.625" style="1" customWidth="1"/>
  </cols>
  <sheetData>
    <row r="1" spans="1:21" s="7" customFormat="1" ht="15" customHeight="1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0"/>
      <c r="N1" s="49"/>
      <c r="O1" s="49"/>
      <c r="P1" s="49"/>
      <c r="Q1" s="49"/>
      <c r="R1" s="49"/>
      <c r="S1" s="49"/>
      <c r="T1" s="6"/>
      <c r="U1" s="6"/>
    </row>
    <row r="2" spans="1:21" s="7" customFormat="1" ht="15" customHeight="1">
      <c r="A2" s="52" t="s">
        <v>72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0"/>
      <c r="M2" s="50"/>
      <c r="N2" s="49"/>
      <c r="O2" s="49"/>
      <c r="P2" s="49"/>
      <c r="Q2" s="49"/>
      <c r="R2" s="49"/>
      <c r="S2" s="49"/>
      <c r="T2" s="6"/>
      <c r="U2" s="6"/>
    </row>
    <row r="3" spans="1:24" s="3" customFormat="1" ht="12" customHeight="1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12"/>
      <c r="N3" s="207"/>
      <c r="O3" s="207"/>
      <c r="P3" s="207"/>
      <c r="Q3" s="207"/>
      <c r="R3" s="207"/>
      <c r="S3" s="207"/>
      <c r="T3" s="213"/>
      <c r="U3" s="213"/>
      <c r="V3" s="213"/>
      <c r="W3" s="213"/>
      <c r="X3" s="213"/>
    </row>
    <row r="4" spans="1:24" s="3" customFormat="1" ht="12" customHeight="1">
      <c r="A4" s="54"/>
      <c r="B4" s="113" t="s">
        <v>2</v>
      </c>
      <c r="C4" s="113"/>
      <c r="D4" s="113"/>
      <c r="E4" s="114"/>
      <c r="F4" s="113" t="s">
        <v>3</v>
      </c>
      <c r="G4" s="113"/>
      <c r="H4" s="113"/>
      <c r="I4" s="114"/>
      <c r="J4" s="203" t="s">
        <v>20</v>
      </c>
      <c r="K4" s="203"/>
      <c r="L4" s="203"/>
      <c r="M4" s="115"/>
      <c r="N4" s="209"/>
      <c r="O4" s="209"/>
      <c r="P4" s="209"/>
      <c r="Q4" s="115"/>
      <c r="R4" s="209"/>
      <c r="S4" s="209"/>
      <c r="T4" s="214"/>
      <c r="U4" s="39"/>
      <c r="V4" s="210"/>
      <c r="W4" s="210"/>
      <c r="X4" s="210"/>
    </row>
    <row r="5" spans="1:24" s="3" customFormat="1" ht="12" customHeight="1">
      <c r="A5" s="56"/>
      <c r="B5" s="58" t="s">
        <v>4</v>
      </c>
      <c r="C5" s="202" t="s">
        <v>5</v>
      </c>
      <c r="D5" s="202"/>
      <c r="E5" s="112"/>
      <c r="F5" s="58" t="s">
        <v>4</v>
      </c>
      <c r="G5" s="202" t="s">
        <v>5</v>
      </c>
      <c r="H5" s="202"/>
      <c r="I5" s="116"/>
      <c r="J5" s="58" t="s">
        <v>4</v>
      </c>
      <c r="K5" s="202" t="s">
        <v>5</v>
      </c>
      <c r="L5" s="202"/>
      <c r="M5" s="116"/>
      <c r="N5" s="57"/>
      <c r="O5" s="211"/>
      <c r="P5" s="211"/>
      <c r="Q5" s="112"/>
      <c r="R5" s="57"/>
      <c r="S5" s="211"/>
      <c r="T5" s="215"/>
      <c r="U5" s="2"/>
      <c r="V5" s="40"/>
      <c r="W5" s="215"/>
      <c r="X5" s="215"/>
    </row>
    <row r="6" spans="1:24" s="4" customFormat="1" ht="12" customHeight="1">
      <c r="A6" s="56"/>
      <c r="B6" s="58"/>
      <c r="C6" s="58" t="s">
        <v>6</v>
      </c>
      <c r="D6" s="58" t="s">
        <v>7</v>
      </c>
      <c r="E6" s="58"/>
      <c r="F6" s="58"/>
      <c r="G6" s="58" t="s">
        <v>6</v>
      </c>
      <c r="H6" s="58" t="s">
        <v>7</v>
      </c>
      <c r="I6" s="58"/>
      <c r="J6" s="58"/>
      <c r="K6" s="58" t="s">
        <v>6</v>
      </c>
      <c r="L6" s="58" t="s">
        <v>7</v>
      </c>
      <c r="M6" s="57"/>
      <c r="N6" s="57"/>
      <c r="O6" s="57"/>
      <c r="P6" s="57"/>
      <c r="Q6" s="57"/>
      <c r="R6" s="57"/>
      <c r="S6" s="57"/>
      <c r="T6" s="40"/>
      <c r="U6" s="40"/>
      <c r="V6" s="16"/>
      <c r="W6" s="40"/>
      <c r="X6" s="40"/>
    </row>
    <row r="7" spans="1:24" s="4" customFormat="1" ht="12" customHeight="1">
      <c r="A7" s="63"/>
      <c r="B7" s="64"/>
      <c r="C7" s="64"/>
      <c r="D7" s="68" t="s">
        <v>8</v>
      </c>
      <c r="E7" s="68"/>
      <c r="F7" s="64"/>
      <c r="G7" s="117"/>
      <c r="H7" s="68" t="s">
        <v>8</v>
      </c>
      <c r="I7" s="68"/>
      <c r="J7" s="68"/>
      <c r="K7" s="64"/>
      <c r="L7" s="68" t="s">
        <v>8</v>
      </c>
      <c r="M7" s="57"/>
      <c r="N7" s="118"/>
      <c r="O7" s="118"/>
      <c r="P7" s="57"/>
      <c r="Q7" s="57"/>
      <c r="R7" s="118"/>
      <c r="S7" s="118"/>
      <c r="T7" s="40"/>
      <c r="U7" s="40"/>
      <c r="V7" s="16"/>
      <c r="W7" s="41"/>
      <c r="X7" s="40"/>
    </row>
    <row r="8" spans="1:24" s="9" customFormat="1" ht="13.5" customHeight="1">
      <c r="A8" s="119" t="s">
        <v>9</v>
      </c>
      <c r="B8" s="119">
        <v>18</v>
      </c>
      <c r="C8" s="120">
        <v>429</v>
      </c>
      <c r="D8" s="121">
        <v>23.833333333333332</v>
      </c>
      <c r="E8" s="122"/>
      <c r="F8" s="119"/>
      <c r="G8" s="123"/>
      <c r="H8" s="124"/>
      <c r="I8" s="125"/>
      <c r="J8" s="118">
        <v>18</v>
      </c>
      <c r="K8" s="118">
        <v>429</v>
      </c>
      <c r="L8" s="126">
        <v>23.833333333333332</v>
      </c>
      <c r="M8" s="127"/>
      <c r="N8" s="128"/>
      <c r="O8" s="128"/>
      <c r="P8" s="129"/>
      <c r="Q8" s="129"/>
      <c r="R8" s="128"/>
      <c r="S8" s="128"/>
      <c r="T8" s="42"/>
      <c r="U8" s="42"/>
      <c r="V8" s="30"/>
      <c r="W8" s="30"/>
      <c r="X8" s="43"/>
    </row>
    <row r="9" spans="1:24" s="9" customFormat="1" ht="11.25" customHeight="1">
      <c r="A9" s="119" t="s">
        <v>10</v>
      </c>
      <c r="B9" s="119">
        <v>38</v>
      </c>
      <c r="C9" s="120">
        <v>935</v>
      </c>
      <c r="D9" s="121">
        <v>24.605263157894736</v>
      </c>
      <c r="E9" s="122"/>
      <c r="F9" s="119">
        <v>4</v>
      </c>
      <c r="G9" s="123">
        <v>97</v>
      </c>
      <c r="H9" s="121">
        <v>24.25</v>
      </c>
      <c r="I9" s="130"/>
      <c r="J9" s="118">
        <v>42</v>
      </c>
      <c r="K9" s="131">
        <v>1032</v>
      </c>
      <c r="L9" s="126">
        <v>24.571428571428573</v>
      </c>
      <c r="M9" s="127"/>
      <c r="N9" s="128"/>
      <c r="O9" s="128"/>
      <c r="P9" s="129"/>
      <c r="Q9" s="129"/>
      <c r="R9" s="128"/>
      <c r="S9" s="128"/>
      <c r="T9" s="42"/>
      <c r="U9" s="42"/>
      <c r="V9" s="30"/>
      <c r="W9" s="30"/>
      <c r="X9" s="43"/>
    </row>
    <row r="10" spans="1:24" s="9" customFormat="1" ht="11.25" customHeight="1">
      <c r="A10" s="119" t="s">
        <v>11</v>
      </c>
      <c r="B10" s="119">
        <v>17</v>
      </c>
      <c r="C10" s="120">
        <v>404</v>
      </c>
      <c r="D10" s="121">
        <v>23.764705882352942</v>
      </c>
      <c r="E10" s="122"/>
      <c r="F10" s="119">
        <v>2</v>
      </c>
      <c r="G10" s="123">
        <v>37</v>
      </c>
      <c r="H10" s="121">
        <v>18.5</v>
      </c>
      <c r="I10" s="130"/>
      <c r="J10" s="118">
        <v>19</v>
      </c>
      <c r="K10" s="118">
        <v>441</v>
      </c>
      <c r="L10" s="126">
        <v>23.210526315789473</v>
      </c>
      <c r="M10" s="127"/>
      <c r="N10" s="128"/>
      <c r="O10" s="128"/>
      <c r="P10" s="129"/>
      <c r="Q10" s="129"/>
      <c r="R10" s="128"/>
      <c r="S10" s="128"/>
      <c r="T10" s="42"/>
      <c r="U10" s="42"/>
      <c r="V10" s="30"/>
      <c r="W10" s="30"/>
      <c r="X10" s="43"/>
    </row>
    <row r="11" spans="1:24" s="9" customFormat="1" ht="11.25" customHeight="1">
      <c r="A11" s="119" t="s">
        <v>12</v>
      </c>
      <c r="B11" s="119">
        <v>22</v>
      </c>
      <c r="C11" s="120">
        <v>542</v>
      </c>
      <c r="D11" s="121">
        <v>24.636363636363637</v>
      </c>
      <c r="E11" s="122"/>
      <c r="F11" s="119"/>
      <c r="G11" s="123"/>
      <c r="H11" s="121"/>
      <c r="I11" s="130"/>
      <c r="J11" s="118">
        <v>22</v>
      </c>
      <c r="K11" s="118">
        <v>542</v>
      </c>
      <c r="L11" s="126">
        <v>24.636363636363637</v>
      </c>
      <c r="M11" s="127"/>
      <c r="N11" s="128"/>
      <c r="O11" s="128"/>
      <c r="P11" s="129"/>
      <c r="Q11" s="129"/>
      <c r="R11" s="128"/>
      <c r="S11" s="128"/>
      <c r="T11" s="42"/>
      <c r="U11" s="42"/>
      <c r="V11" s="30"/>
      <c r="W11" s="30"/>
      <c r="X11" s="43"/>
    </row>
    <row r="12" spans="1:24" s="9" customFormat="1" ht="11.25" customHeight="1">
      <c r="A12" s="119" t="s">
        <v>13</v>
      </c>
      <c r="B12" s="119">
        <v>15</v>
      </c>
      <c r="C12" s="120">
        <v>359</v>
      </c>
      <c r="D12" s="121">
        <v>23.933333333333334</v>
      </c>
      <c r="E12" s="122"/>
      <c r="F12" s="119">
        <v>10</v>
      </c>
      <c r="G12" s="123">
        <v>201</v>
      </c>
      <c r="H12" s="121">
        <v>20.1</v>
      </c>
      <c r="I12" s="130"/>
      <c r="J12" s="118">
        <v>25</v>
      </c>
      <c r="K12" s="118">
        <v>560</v>
      </c>
      <c r="L12" s="126">
        <v>22.4</v>
      </c>
      <c r="M12" s="127"/>
      <c r="N12" s="128"/>
      <c r="O12" s="128"/>
      <c r="P12" s="129"/>
      <c r="Q12" s="129"/>
      <c r="R12" s="128"/>
      <c r="S12" s="128"/>
      <c r="T12" s="42"/>
      <c r="U12" s="42"/>
      <c r="V12" s="30"/>
      <c r="W12" s="30"/>
      <c r="X12" s="43"/>
    </row>
    <row r="13" spans="1:24" s="9" customFormat="1" ht="11.25" customHeight="1">
      <c r="A13" s="119" t="s">
        <v>14</v>
      </c>
      <c r="B13" s="132">
        <v>30</v>
      </c>
      <c r="C13" s="120">
        <v>734</v>
      </c>
      <c r="D13" s="121">
        <v>24.466666666666665</v>
      </c>
      <c r="E13" s="122"/>
      <c r="F13" s="132">
        <v>3</v>
      </c>
      <c r="G13" s="123">
        <v>75</v>
      </c>
      <c r="H13" s="121">
        <v>25</v>
      </c>
      <c r="I13" s="125"/>
      <c r="J13" s="118">
        <v>33</v>
      </c>
      <c r="K13" s="118">
        <v>809</v>
      </c>
      <c r="L13" s="126">
        <v>24.515151515151516</v>
      </c>
      <c r="M13" s="127"/>
      <c r="N13" s="133"/>
      <c r="O13" s="133"/>
      <c r="P13" s="129"/>
      <c r="Q13" s="129"/>
      <c r="R13" s="128"/>
      <c r="S13" s="128"/>
      <c r="T13" s="42"/>
      <c r="U13" s="42"/>
      <c r="V13" s="30"/>
      <c r="W13" s="30"/>
      <c r="X13" s="43"/>
    </row>
    <row r="14" spans="1:24" s="9" customFormat="1" ht="11.25" customHeight="1">
      <c r="A14" s="119" t="s">
        <v>15</v>
      </c>
      <c r="B14" s="119">
        <v>20</v>
      </c>
      <c r="C14" s="120">
        <v>492</v>
      </c>
      <c r="D14" s="121">
        <v>24.6</v>
      </c>
      <c r="E14" s="122"/>
      <c r="F14" s="119">
        <v>10</v>
      </c>
      <c r="G14" s="123">
        <v>227</v>
      </c>
      <c r="H14" s="121">
        <v>22.7</v>
      </c>
      <c r="I14" s="130"/>
      <c r="J14" s="118">
        <v>30</v>
      </c>
      <c r="K14" s="118">
        <v>719</v>
      </c>
      <c r="L14" s="126">
        <v>23.966666666666665</v>
      </c>
      <c r="M14" s="127"/>
      <c r="N14" s="128"/>
      <c r="O14" s="128"/>
      <c r="P14" s="129"/>
      <c r="Q14" s="129"/>
      <c r="R14" s="128"/>
      <c r="S14" s="128"/>
      <c r="T14" s="42"/>
      <c r="U14" s="42"/>
      <c r="V14" s="30"/>
      <c r="W14" s="30"/>
      <c r="X14" s="43"/>
    </row>
    <row r="15" spans="1:24" s="9" customFormat="1" ht="11.25" customHeight="1">
      <c r="A15" s="119" t="s">
        <v>16</v>
      </c>
      <c r="B15" s="119">
        <v>21</v>
      </c>
      <c r="C15" s="120">
        <v>508</v>
      </c>
      <c r="D15" s="121">
        <v>24.19047619047619</v>
      </c>
      <c r="E15" s="122"/>
      <c r="F15" s="119">
        <v>2</v>
      </c>
      <c r="G15" s="123">
        <v>45</v>
      </c>
      <c r="H15" s="121">
        <v>22.5</v>
      </c>
      <c r="I15" s="130"/>
      <c r="J15" s="118">
        <v>23</v>
      </c>
      <c r="K15" s="118">
        <v>553</v>
      </c>
      <c r="L15" s="126">
        <v>24.043478260869566</v>
      </c>
      <c r="M15" s="127"/>
      <c r="N15" s="128"/>
      <c r="O15" s="128"/>
      <c r="P15" s="129"/>
      <c r="Q15" s="129"/>
      <c r="R15" s="128"/>
      <c r="S15" s="128"/>
      <c r="T15" s="42"/>
      <c r="U15" s="42"/>
      <c r="V15" s="30"/>
      <c r="W15" s="30"/>
      <c r="X15" s="43"/>
    </row>
    <row r="16" spans="1:24" s="9" customFormat="1" ht="11.25" customHeight="1">
      <c r="A16" s="119" t="s">
        <v>17</v>
      </c>
      <c r="B16" s="119">
        <v>31</v>
      </c>
      <c r="C16" s="120">
        <v>765</v>
      </c>
      <c r="D16" s="121">
        <v>24.677419354838708</v>
      </c>
      <c r="E16" s="122"/>
      <c r="F16" s="119">
        <v>3</v>
      </c>
      <c r="G16" s="123">
        <v>55</v>
      </c>
      <c r="H16" s="121">
        <v>18.333333333333332</v>
      </c>
      <c r="I16" s="130"/>
      <c r="J16" s="118">
        <v>34</v>
      </c>
      <c r="K16" s="118">
        <v>820</v>
      </c>
      <c r="L16" s="126">
        <v>24.11764705882353</v>
      </c>
      <c r="M16" s="127"/>
      <c r="N16" s="128"/>
      <c r="O16" s="128"/>
      <c r="P16" s="129"/>
      <c r="Q16" s="129"/>
      <c r="R16" s="128"/>
      <c r="S16" s="128"/>
      <c r="T16" s="42"/>
      <c r="U16" s="42"/>
      <c r="V16" s="30"/>
      <c r="W16" s="30"/>
      <c r="X16" s="43"/>
    </row>
    <row r="17" spans="1:24" s="5" customFormat="1" ht="15" customHeight="1">
      <c r="A17" s="134" t="s">
        <v>18</v>
      </c>
      <c r="B17" s="90">
        <v>212</v>
      </c>
      <c r="C17" s="90">
        <v>5168</v>
      </c>
      <c r="D17" s="135">
        <v>24.37735849056604</v>
      </c>
      <c r="E17" s="90"/>
      <c r="F17" s="90">
        <v>34</v>
      </c>
      <c r="G17" s="90">
        <v>737</v>
      </c>
      <c r="H17" s="135">
        <v>21.676470588235293</v>
      </c>
      <c r="I17" s="90"/>
      <c r="J17" s="136">
        <v>246</v>
      </c>
      <c r="K17" s="137">
        <v>5905</v>
      </c>
      <c r="L17" s="138">
        <v>24.004065040650406</v>
      </c>
      <c r="M17" s="139"/>
      <c r="N17" s="98"/>
      <c r="O17" s="98"/>
      <c r="P17" s="98"/>
      <c r="Q17" s="98"/>
      <c r="R17" s="98"/>
      <c r="S17" s="98"/>
      <c r="T17" s="38"/>
      <c r="U17" s="38"/>
      <c r="V17" s="44"/>
      <c r="W17" s="44"/>
      <c r="X17" s="45"/>
    </row>
    <row r="18" spans="1:19" s="8" customFormat="1" ht="12" customHeight="1">
      <c r="A18" s="140"/>
      <c r="B18" s="141"/>
      <c r="C18" s="141"/>
      <c r="D18" s="141"/>
      <c r="E18" s="141"/>
      <c r="F18" s="141"/>
      <c r="G18" s="141"/>
      <c r="H18" s="141"/>
      <c r="I18" s="141"/>
      <c r="J18" s="98"/>
      <c r="K18" s="142"/>
      <c r="L18" s="103"/>
      <c r="M18" s="103"/>
      <c r="N18" s="143"/>
      <c r="O18" s="143"/>
      <c r="P18" s="143"/>
      <c r="Q18" s="143"/>
      <c r="R18" s="143"/>
      <c r="S18" s="143"/>
    </row>
    <row r="19" spans="1:19" s="8" customFormat="1" ht="11.25">
      <c r="A19" s="140"/>
      <c r="B19" s="141"/>
      <c r="C19" s="141"/>
      <c r="D19" s="141"/>
      <c r="E19" s="141"/>
      <c r="F19" s="141"/>
      <c r="G19" s="141"/>
      <c r="H19" s="141"/>
      <c r="I19" s="141"/>
      <c r="J19" s="143"/>
      <c r="K19" s="143"/>
      <c r="L19" s="143"/>
      <c r="M19" s="143"/>
      <c r="N19" s="143"/>
      <c r="O19" s="143"/>
      <c r="P19" s="143"/>
      <c r="Q19" s="143"/>
      <c r="R19" s="143"/>
      <c r="S19" s="143"/>
    </row>
    <row r="20" spans="1:19" ht="12">
      <c r="A20" s="144"/>
      <c r="B20" s="110"/>
      <c r="C20" s="110"/>
      <c r="D20" s="110"/>
      <c r="E20" s="110"/>
      <c r="F20" s="110"/>
      <c r="G20" s="110"/>
      <c r="H20" s="110"/>
      <c r="I20" s="110"/>
      <c r="J20" s="144"/>
      <c r="K20" s="144"/>
      <c r="L20" s="144"/>
      <c r="M20" s="144"/>
      <c r="N20" s="144"/>
      <c r="O20" s="144"/>
      <c r="P20" s="144"/>
      <c r="Q20" s="144"/>
      <c r="R20" s="144"/>
      <c r="S20" s="144"/>
    </row>
    <row r="21" spans="1:19" ht="12">
      <c r="A21" s="111"/>
      <c r="B21" s="111"/>
      <c r="C21" s="111"/>
      <c r="D21" s="111"/>
      <c r="E21" s="111"/>
      <c r="F21" s="111"/>
      <c r="G21" s="111"/>
      <c r="H21" s="111"/>
      <c r="I21" s="111"/>
      <c r="J21" s="144"/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ht="12">
      <c r="A22" s="145"/>
      <c r="B22" s="146"/>
      <c r="C22" s="146"/>
      <c r="D22" s="111"/>
      <c r="E22" s="111"/>
      <c r="F22" s="111"/>
      <c r="G22" s="111"/>
      <c r="H22" s="111"/>
      <c r="I22" s="111"/>
      <c r="J22" s="144"/>
      <c r="K22" s="144"/>
      <c r="L22" s="144"/>
      <c r="M22" s="144"/>
      <c r="N22" s="144"/>
      <c r="O22" s="144"/>
      <c r="P22" s="144"/>
      <c r="Q22" s="144"/>
      <c r="R22" s="144"/>
      <c r="S22" s="144"/>
    </row>
    <row r="23" spans="1:19" ht="12">
      <c r="A23" s="147"/>
      <c r="B23" s="146"/>
      <c r="C23" s="146"/>
      <c r="D23" s="148"/>
      <c r="E23" s="148"/>
      <c r="F23" s="148"/>
      <c r="G23" s="148"/>
      <c r="H23" s="148"/>
      <c r="I23" s="148"/>
      <c r="J23" s="144"/>
      <c r="K23" s="144"/>
      <c r="L23" s="144"/>
      <c r="M23" s="144"/>
      <c r="N23" s="144"/>
      <c r="O23" s="144"/>
      <c r="P23" s="144"/>
      <c r="Q23" s="144"/>
      <c r="R23" s="144"/>
      <c r="S23" s="144"/>
    </row>
    <row r="24" spans="1:19" ht="12">
      <c r="A24" s="147"/>
      <c r="B24" s="146"/>
      <c r="C24" s="146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</row>
    <row r="25" spans="1:19" ht="12">
      <c r="A25" s="147"/>
      <c r="B25" s="146"/>
      <c r="C25" s="146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</row>
    <row r="26" spans="1:19" ht="12">
      <c r="A26" s="147"/>
      <c r="B26" s="146"/>
      <c r="C26" s="146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</row>
    <row r="27" spans="1:19" ht="12">
      <c r="A27" s="147"/>
      <c r="B27" s="146"/>
      <c r="C27" s="146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</row>
    <row r="28" spans="1:19" ht="12">
      <c r="A28" s="147"/>
      <c r="B28" s="146"/>
      <c r="C28" s="146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</row>
    <row r="29" spans="1:19" ht="12">
      <c r="A29" s="147"/>
      <c r="B29" s="146"/>
      <c r="C29" s="146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</row>
    <row r="30" spans="1:19" ht="12">
      <c r="A30" s="147"/>
      <c r="B30" s="146"/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1:19" ht="12">
      <c r="A31" s="144"/>
      <c r="B31" s="110"/>
      <c r="C31" s="146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</row>
    <row r="32" spans="1:19" ht="12">
      <c r="A32" s="132"/>
      <c r="B32" s="110"/>
      <c r="C32" s="146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1:19" ht="12">
      <c r="A33" s="144"/>
      <c r="B33" s="144"/>
      <c r="C33" s="146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12">
      <c r="A34" s="144"/>
      <c r="B34" s="144"/>
      <c r="C34" s="146"/>
      <c r="D34" s="110"/>
      <c r="E34" s="110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1:19" ht="12">
      <c r="A35" s="144"/>
      <c r="B35" s="144"/>
      <c r="C35" s="146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</row>
    <row r="36" spans="1:19" ht="12">
      <c r="A36" s="144"/>
      <c r="B36" s="144"/>
      <c r="C36" s="146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</row>
    <row r="37" spans="1:19" ht="12">
      <c r="A37" s="144"/>
      <c r="B37" s="144"/>
      <c r="C37" s="146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12">
      <c r="A38" s="144"/>
      <c r="B38" s="144"/>
      <c r="C38" s="146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1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1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</sheetData>
  <sheetProtection/>
  <mergeCells count="12">
    <mergeCell ref="S5:T5"/>
    <mergeCell ref="W5:X5"/>
    <mergeCell ref="C5:D5"/>
    <mergeCell ref="G5:H5"/>
    <mergeCell ref="K5:L5"/>
    <mergeCell ref="O5:P5"/>
    <mergeCell ref="B3:L3"/>
    <mergeCell ref="N3:X3"/>
    <mergeCell ref="J4:L4"/>
    <mergeCell ref="N4:P4"/>
    <mergeCell ref="R4:T4"/>
    <mergeCell ref="V4:X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&amp;R400042.xls</oddHeader>
    <oddFooter>&amp;LComune di Bologna - Dipartimento Programmazione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10">
      <selection activeCell="E22" sqref="E22"/>
    </sheetView>
  </sheetViews>
  <sheetFormatPr defaultColWidth="10.625" defaultRowHeight="12"/>
  <cols>
    <col min="1" max="1" width="15.25390625" style="21" customWidth="1"/>
    <col min="2" max="2" width="15.25390625" style="21" bestFit="1" customWidth="1"/>
    <col min="3" max="3" width="10.375" style="21" bestFit="1" customWidth="1"/>
    <col min="4" max="6" width="8.125" style="21" customWidth="1"/>
    <col min="7" max="7" width="7.875" style="21" bestFit="1" customWidth="1"/>
    <col min="8" max="8" width="9.125" style="21" customWidth="1"/>
    <col min="9" max="9" width="2.125" style="21" customWidth="1"/>
    <col min="10" max="12" width="8.125" style="21" customWidth="1"/>
    <col min="13" max="13" width="8.75390625" style="21" bestFit="1" customWidth="1"/>
    <col min="14" max="14" width="7.875" style="21" bestFit="1" customWidth="1"/>
    <col min="15" max="15" width="8.125" style="21" customWidth="1"/>
    <col min="16" max="16" width="2.25390625" style="21" customWidth="1"/>
    <col min="17" max="18" width="8.125" style="21" customWidth="1"/>
    <col min="19" max="19" width="7.125" style="21" customWidth="1"/>
    <col min="20" max="20" width="8.875" style="21" bestFit="1" customWidth="1"/>
    <col min="21" max="21" width="6.75390625" style="21" customWidth="1"/>
    <col min="22" max="22" width="9.25390625" style="21" bestFit="1" customWidth="1"/>
    <col min="23" max="23" width="0.6171875" style="2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49"/>
      <c r="U2" s="49"/>
      <c r="V2" s="49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53" t="s">
        <v>103</v>
      </c>
      <c r="C3" s="202" t="s">
        <v>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3"/>
      <c r="X3" s="23"/>
      <c r="Y3" s="23"/>
      <c r="Z3" s="23"/>
      <c r="AA3" s="23"/>
      <c r="AB3" s="23"/>
      <c r="AC3" s="23"/>
      <c r="AD3" s="23"/>
    </row>
    <row r="4" spans="1:30" ht="12">
      <c r="A4" s="187"/>
      <c r="B4" s="187"/>
      <c r="C4" s="203" t="s">
        <v>2</v>
      </c>
      <c r="D4" s="203"/>
      <c r="E4" s="203"/>
      <c r="F4" s="203"/>
      <c r="G4" s="203"/>
      <c r="H4" s="203"/>
      <c r="I4" s="115"/>
      <c r="J4" s="203" t="s">
        <v>3</v>
      </c>
      <c r="K4" s="203"/>
      <c r="L4" s="203"/>
      <c r="M4" s="203"/>
      <c r="N4" s="203"/>
      <c r="O4" s="203"/>
      <c r="P4" s="115"/>
      <c r="Q4" s="203" t="s">
        <v>20</v>
      </c>
      <c r="R4" s="203"/>
      <c r="S4" s="203"/>
      <c r="T4" s="203"/>
      <c r="U4" s="203"/>
      <c r="V4" s="203"/>
      <c r="W4" s="24"/>
      <c r="X4" s="24"/>
      <c r="Y4" s="24"/>
      <c r="Z4" s="24"/>
      <c r="AA4" s="23"/>
      <c r="AB4" s="23"/>
      <c r="AC4" s="23"/>
      <c r="AD4" s="24"/>
    </row>
    <row r="5" spans="1:29" ht="12">
      <c r="A5" s="187"/>
      <c r="B5" s="187"/>
      <c r="C5" s="57" t="s">
        <v>4</v>
      </c>
      <c r="D5" s="202" t="s">
        <v>5</v>
      </c>
      <c r="E5" s="202"/>
      <c r="F5" s="202"/>
      <c r="G5" s="202"/>
      <c r="H5" s="202"/>
      <c r="I5" s="112"/>
      <c r="J5" s="57" t="s">
        <v>4</v>
      </c>
      <c r="K5" s="204" t="s">
        <v>5</v>
      </c>
      <c r="L5" s="204"/>
      <c r="M5" s="204"/>
      <c r="N5" s="204"/>
      <c r="O5" s="204"/>
      <c r="P5" s="112"/>
      <c r="Q5" s="57" t="s">
        <v>4</v>
      </c>
      <c r="R5" s="204" t="s">
        <v>5</v>
      </c>
      <c r="S5" s="204"/>
      <c r="T5" s="204"/>
      <c r="U5" s="204"/>
      <c r="V5" s="204"/>
      <c r="AA5" s="24"/>
      <c r="AB5" s="24"/>
      <c r="AC5" s="24"/>
    </row>
    <row r="6" spans="1:22" ht="12">
      <c r="A6" s="187"/>
      <c r="B6" s="187"/>
      <c r="C6" s="58"/>
      <c r="D6" s="58" t="s">
        <v>6</v>
      </c>
      <c r="E6" s="59" t="s">
        <v>19</v>
      </c>
      <c r="F6" s="59" t="s">
        <v>19</v>
      </c>
      <c r="G6" s="59" t="s">
        <v>19</v>
      </c>
      <c r="H6" s="58" t="s">
        <v>22</v>
      </c>
      <c r="I6" s="58"/>
      <c r="J6" s="58"/>
      <c r="K6" s="58" t="s">
        <v>6</v>
      </c>
      <c r="L6" s="59" t="s">
        <v>19</v>
      </c>
      <c r="M6" s="59" t="s">
        <v>19</v>
      </c>
      <c r="N6" s="59" t="s">
        <v>19</v>
      </c>
      <c r="O6" s="58" t="s">
        <v>22</v>
      </c>
      <c r="P6" s="58"/>
      <c r="Q6" s="58"/>
      <c r="R6" s="58" t="s">
        <v>6</v>
      </c>
      <c r="S6" s="59" t="s">
        <v>19</v>
      </c>
      <c r="T6" s="59" t="s">
        <v>19</v>
      </c>
      <c r="U6" s="59" t="s">
        <v>19</v>
      </c>
      <c r="V6" s="58" t="s">
        <v>22</v>
      </c>
    </row>
    <row r="7" spans="1:22" ht="12">
      <c r="A7" s="187"/>
      <c r="B7" s="187"/>
      <c r="C7" s="58"/>
      <c r="D7" s="58"/>
      <c r="E7" s="59" t="s">
        <v>57</v>
      </c>
      <c r="F7" s="59" t="s">
        <v>27</v>
      </c>
      <c r="G7" s="59" t="s">
        <v>23</v>
      </c>
      <c r="H7" s="133" t="s">
        <v>24</v>
      </c>
      <c r="I7" s="58"/>
      <c r="J7" s="58"/>
      <c r="K7" s="58"/>
      <c r="L7" s="59" t="s">
        <v>57</v>
      </c>
      <c r="M7" s="59" t="s">
        <v>27</v>
      </c>
      <c r="N7" s="59" t="s">
        <v>23</v>
      </c>
      <c r="O7" s="133" t="s">
        <v>24</v>
      </c>
      <c r="P7" s="58"/>
      <c r="Q7" s="58"/>
      <c r="R7" s="58"/>
      <c r="S7" s="59" t="s">
        <v>57</v>
      </c>
      <c r="T7" s="59" t="s">
        <v>27</v>
      </c>
      <c r="U7" s="59" t="s">
        <v>23</v>
      </c>
      <c r="V7" s="133" t="s">
        <v>24</v>
      </c>
    </row>
    <row r="8" spans="1:22" ht="12">
      <c r="A8" s="188"/>
      <c r="B8" s="188"/>
      <c r="C8" s="64"/>
      <c r="D8" s="64"/>
      <c r="E8" s="65" t="s">
        <v>49</v>
      </c>
      <c r="F8" s="66" t="s">
        <v>28</v>
      </c>
      <c r="G8" s="65" t="s">
        <v>58</v>
      </c>
      <c r="H8" s="68"/>
      <c r="I8" s="68"/>
      <c r="J8" s="64"/>
      <c r="K8" s="64"/>
      <c r="L8" s="65" t="s">
        <v>49</v>
      </c>
      <c r="M8" s="66" t="s">
        <v>28</v>
      </c>
      <c r="N8" s="65" t="s">
        <v>58</v>
      </c>
      <c r="O8" s="68"/>
      <c r="P8" s="68"/>
      <c r="Q8" s="64"/>
      <c r="R8" s="64"/>
      <c r="S8" s="65" t="s">
        <v>49</v>
      </c>
      <c r="T8" s="66" t="s">
        <v>28</v>
      </c>
      <c r="U8" s="65" t="s">
        <v>58</v>
      </c>
      <c r="V8" s="68"/>
    </row>
    <row r="9" spans="1:22" ht="12">
      <c r="A9" s="189" t="s">
        <v>104</v>
      </c>
      <c r="B9" s="189"/>
      <c r="C9" s="167">
        <f>C10+C11+C12</f>
        <v>43</v>
      </c>
      <c r="D9" s="167">
        <f>D10+D11+D12</f>
        <v>1026</v>
      </c>
      <c r="E9" s="168">
        <f>E10+E11+E12</f>
        <v>490</v>
      </c>
      <c r="F9" s="168">
        <f>F10+F11+F12</f>
        <v>34</v>
      </c>
      <c r="G9" s="168">
        <f>G10+G11+G12</f>
        <v>376</v>
      </c>
      <c r="H9" s="73">
        <f>D9/C9</f>
        <v>23.86046511627907</v>
      </c>
      <c r="J9" s="75">
        <f>J10+J11+J12</f>
        <v>6</v>
      </c>
      <c r="K9" s="75">
        <f>K10+K11+K12</f>
        <v>134</v>
      </c>
      <c r="L9" s="80">
        <f>L10+L11+L12</f>
        <v>69</v>
      </c>
      <c r="M9" s="80">
        <f>M10+M11+M12</f>
        <v>1</v>
      </c>
      <c r="N9" s="80">
        <f>N10+N11+N12</f>
        <v>66</v>
      </c>
      <c r="O9" s="74">
        <f>K9/J9</f>
        <v>22.333333333333332</v>
      </c>
      <c r="Q9" s="75">
        <f>J9+C9</f>
        <v>49</v>
      </c>
      <c r="R9" s="190">
        <f aca="true" t="shared" si="0" ref="Q9:U35">K9+D9</f>
        <v>1160</v>
      </c>
      <c r="S9" s="80">
        <f t="shared" si="0"/>
        <v>559</v>
      </c>
      <c r="T9" s="164">
        <f t="shared" si="0"/>
        <v>35</v>
      </c>
      <c r="U9" s="164">
        <f>N9+G9</f>
        <v>442</v>
      </c>
      <c r="V9" s="74">
        <f>R9/Q9</f>
        <v>23.6734693877551</v>
      </c>
    </row>
    <row r="10" spans="1:22" ht="12">
      <c r="A10" s="144"/>
      <c r="B10" s="144" t="s">
        <v>105</v>
      </c>
      <c r="C10" s="198">
        <v>12</v>
      </c>
      <c r="D10" s="198">
        <v>301</v>
      </c>
      <c r="E10" s="199">
        <v>155</v>
      </c>
      <c r="F10" s="199">
        <v>8</v>
      </c>
      <c r="G10" s="199">
        <v>84</v>
      </c>
      <c r="H10" s="200">
        <f>D10/C10</f>
        <v>25.083333333333332</v>
      </c>
      <c r="J10" s="123">
        <v>4</v>
      </c>
      <c r="K10" s="123">
        <v>87</v>
      </c>
      <c r="L10" s="153">
        <v>49</v>
      </c>
      <c r="M10" s="153">
        <v>0</v>
      </c>
      <c r="N10" s="153">
        <v>49</v>
      </c>
      <c r="O10" s="79">
        <f>K10/J10</f>
        <v>21.75</v>
      </c>
      <c r="Q10" s="123">
        <f t="shared" si="0"/>
        <v>16</v>
      </c>
      <c r="R10" s="123">
        <f t="shared" si="0"/>
        <v>388</v>
      </c>
      <c r="S10" s="153">
        <f t="shared" si="0"/>
        <v>204</v>
      </c>
      <c r="T10" s="153">
        <f t="shared" si="0"/>
        <v>8</v>
      </c>
      <c r="U10" s="153">
        <f t="shared" si="0"/>
        <v>133</v>
      </c>
      <c r="V10" s="79">
        <f>R10/Q10</f>
        <v>24.25</v>
      </c>
    </row>
    <row r="11" spans="1:22" ht="12">
      <c r="A11" s="144"/>
      <c r="B11" s="144" t="s">
        <v>106</v>
      </c>
      <c r="C11" s="198">
        <v>21</v>
      </c>
      <c r="D11" s="198">
        <v>506</v>
      </c>
      <c r="E11" s="199">
        <v>241</v>
      </c>
      <c r="F11" s="199">
        <v>19</v>
      </c>
      <c r="G11" s="199">
        <v>204</v>
      </c>
      <c r="H11" s="200">
        <f aca="true" t="shared" si="1" ref="H11:H35">D11/C11</f>
        <v>24.095238095238095</v>
      </c>
      <c r="J11" s="123"/>
      <c r="K11" s="123"/>
      <c r="L11" s="153"/>
      <c r="M11" s="153"/>
      <c r="N11" s="153"/>
      <c r="O11" s="79"/>
      <c r="Q11" s="123">
        <f t="shared" si="0"/>
        <v>21</v>
      </c>
      <c r="R11" s="123">
        <f t="shared" si="0"/>
        <v>506</v>
      </c>
      <c r="S11" s="153">
        <f t="shared" si="0"/>
        <v>241</v>
      </c>
      <c r="T11" s="153">
        <f t="shared" si="0"/>
        <v>19</v>
      </c>
      <c r="U11" s="153">
        <f t="shared" si="0"/>
        <v>204</v>
      </c>
      <c r="V11" s="79">
        <f aca="true" t="shared" si="2" ref="V11:V34">R11/Q11</f>
        <v>24.095238095238095</v>
      </c>
    </row>
    <row r="12" spans="1:22" ht="12">
      <c r="A12" s="144"/>
      <c r="B12" s="144" t="s">
        <v>107</v>
      </c>
      <c r="C12" s="198">
        <v>10</v>
      </c>
      <c r="D12" s="198">
        <v>219</v>
      </c>
      <c r="E12" s="199">
        <v>94</v>
      </c>
      <c r="F12" s="199">
        <v>7</v>
      </c>
      <c r="G12" s="199">
        <v>88</v>
      </c>
      <c r="H12" s="200">
        <f t="shared" si="1"/>
        <v>21.9</v>
      </c>
      <c r="J12" s="123">
        <v>2</v>
      </c>
      <c r="K12" s="123">
        <v>47</v>
      </c>
      <c r="L12" s="153">
        <v>20</v>
      </c>
      <c r="M12" s="153">
        <v>1</v>
      </c>
      <c r="N12" s="153">
        <v>17</v>
      </c>
      <c r="O12" s="79">
        <f aca="true" t="shared" si="3" ref="O12:O35">K12/J12</f>
        <v>23.5</v>
      </c>
      <c r="Q12" s="123">
        <f t="shared" si="0"/>
        <v>12</v>
      </c>
      <c r="R12" s="123">
        <f t="shared" si="0"/>
        <v>266</v>
      </c>
      <c r="S12" s="153">
        <f t="shared" si="0"/>
        <v>114</v>
      </c>
      <c r="T12" s="153">
        <f t="shared" si="0"/>
        <v>8</v>
      </c>
      <c r="U12" s="153">
        <f t="shared" si="0"/>
        <v>105</v>
      </c>
      <c r="V12" s="79">
        <f t="shared" si="2"/>
        <v>22.166666666666668</v>
      </c>
    </row>
    <row r="13" spans="1:22" ht="12">
      <c r="A13" s="191" t="s">
        <v>10</v>
      </c>
      <c r="B13" s="191"/>
      <c r="C13" s="167">
        <f>C14+C15+C16</f>
        <v>34</v>
      </c>
      <c r="D13" s="167">
        <f>D14+D15+D16</f>
        <v>828</v>
      </c>
      <c r="E13" s="168">
        <f>E14+E15+E16</f>
        <v>382</v>
      </c>
      <c r="F13" s="168">
        <f>F14+F15+F16</f>
        <v>32</v>
      </c>
      <c r="G13" s="168">
        <f>G14+G15+G16</f>
        <v>314</v>
      </c>
      <c r="H13" s="73">
        <f t="shared" si="1"/>
        <v>24.352941176470587</v>
      </c>
      <c r="J13" s="75">
        <f>J14+J15+J16</f>
        <v>18</v>
      </c>
      <c r="K13" s="75">
        <f>K14+K15+K16</f>
        <v>406</v>
      </c>
      <c r="L13" s="80">
        <f>L14+L15+L16</f>
        <v>205</v>
      </c>
      <c r="M13" s="80">
        <f>M14+M15+M16</f>
        <v>10</v>
      </c>
      <c r="N13" s="80">
        <f>N14+N15+N16</f>
        <v>245</v>
      </c>
      <c r="O13" s="74">
        <f t="shared" si="3"/>
        <v>22.555555555555557</v>
      </c>
      <c r="Q13" s="75">
        <f t="shared" si="0"/>
        <v>52</v>
      </c>
      <c r="R13" s="75">
        <f t="shared" si="0"/>
        <v>1234</v>
      </c>
      <c r="S13" s="80">
        <f t="shared" si="0"/>
        <v>587</v>
      </c>
      <c r="T13" s="80">
        <f t="shared" si="0"/>
        <v>42</v>
      </c>
      <c r="U13" s="80">
        <f t="shared" si="0"/>
        <v>559</v>
      </c>
      <c r="V13" s="74">
        <f t="shared" si="2"/>
        <v>23.73076923076923</v>
      </c>
    </row>
    <row r="14" spans="1:22" ht="12">
      <c r="A14" s="192"/>
      <c r="B14" s="144" t="s">
        <v>108</v>
      </c>
      <c r="C14" s="198">
        <v>17</v>
      </c>
      <c r="D14" s="198">
        <v>411</v>
      </c>
      <c r="E14" s="199">
        <v>187</v>
      </c>
      <c r="F14" s="199">
        <v>14</v>
      </c>
      <c r="G14" s="199">
        <v>142</v>
      </c>
      <c r="H14" s="200">
        <f t="shared" si="1"/>
        <v>24.176470588235293</v>
      </c>
      <c r="J14" s="123">
        <v>10</v>
      </c>
      <c r="K14" s="123">
        <v>230</v>
      </c>
      <c r="L14" s="153">
        <v>104</v>
      </c>
      <c r="M14" s="153">
        <v>4</v>
      </c>
      <c r="N14" s="153">
        <v>146</v>
      </c>
      <c r="O14" s="79">
        <f t="shared" si="3"/>
        <v>23</v>
      </c>
      <c r="Q14" s="123">
        <f t="shared" si="0"/>
        <v>27</v>
      </c>
      <c r="R14" s="123">
        <f t="shared" si="0"/>
        <v>641</v>
      </c>
      <c r="S14" s="153">
        <f t="shared" si="0"/>
        <v>291</v>
      </c>
      <c r="T14" s="153">
        <f t="shared" si="0"/>
        <v>18</v>
      </c>
      <c r="U14" s="153">
        <f t="shared" si="0"/>
        <v>288</v>
      </c>
      <c r="V14" s="79">
        <f t="shared" si="2"/>
        <v>23.74074074074074</v>
      </c>
    </row>
    <row r="15" spans="1:22" ht="12">
      <c r="A15" s="193"/>
      <c r="B15" s="144" t="s">
        <v>109</v>
      </c>
      <c r="C15" s="198">
        <v>10</v>
      </c>
      <c r="D15" s="198">
        <v>259</v>
      </c>
      <c r="E15" s="199">
        <v>124</v>
      </c>
      <c r="F15" s="199">
        <v>13</v>
      </c>
      <c r="G15" s="199">
        <v>101</v>
      </c>
      <c r="H15" s="200">
        <f t="shared" si="1"/>
        <v>25.9</v>
      </c>
      <c r="J15" s="123">
        <v>4</v>
      </c>
      <c r="K15" s="123">
        <v>94</v>
      </c>
      <c r="L15" s="153">
        <v>61</v>
      </c>
      <c r="M15" s="153">
        <v>2</v>
      </c>
      <c r="N15" s="153">
        <v>46</v>
      </c>
      <c r="O15" s="79">
        <f t="shared" si="3"/>
        <v>23.5</v>
      </c>
      <c r="Q15" s="123">
        <f t="shared" si="0"/>
        <v>14</v>
      </c>
      <c r="R15" s="123">
        <f t="shared" si="0"/>
        <v>353</v>
      </c>
      <c r="S15" s="153">
        <f t="shared" si="0"/>
        <v>185</v>
      </c>
      <c r="T15" s="153">
        <f t="shared" si="0"/>
        <v>15</v>
      </c>
      <c r="U15" s="153">
        <f t="shared" si="0"/>
        <v>147</v>
      </c>
      <c r="V15" s="79">
        <f t="shared" si="2"/>
        <v>25.214285714285715</v>
      </c>
    </row>
    <row r="16" spans="1:22" ht="12">
      <c r="A16" s="193"/>
      <c r="B16" s="144" t="s">
        <v>110</v>
      </c>
      <c r="C16" s="198">
        <v>7</v>
      </c>
      <c r="D16" s="198">
        <v>158</v>
      </c>
      <c r="E16" s="199">
        <v>71</v>
      </c>
      <c r="F16" s="199">
        <v>5</v>
      </c>
      <c r="G16" s="199">
        <v>71</v>
      </c>
      <c r="H16" s="200">
        <f t="shared" si="1"/>
        <v>22.571428571428573</v>
      </c>
      <c r="J16" s="123">
        <v>4</v>
      </c>
      <c r="K16" s="123">
        <v>82</v>
      </c>
      <c r="L16" s="153">
        <v>40</v>
      </c>
      <c r="M16" s="153">
        <v>4</v>
      </c>
      <c r="N16" s="153">
        <v>53</v>
      </c>
      <c r="O16" s="79">
        <f t="shared" si="3"/>
        <v>20.5</v>
      </c>
      <c r="Q16" s="123">
        <f t="shared" si="0"/>
        <v>11</v>
      </c>
      <c r="R16" s="123">
        <f t="shared" si="0"/>
        <v>240</v>
      </c>
      <c r="S16" s="153">
        <f t="shared" si="0"/>
        <v>111</v>
      </c>
      <c r="T16" s="153">
        <f t="shared" si="0"/>
        <v>9</v>
      </c>
      <c r="U16" s="153">
        <f t="shared" si="0"/>
        <v>124</v>
      </c>
      <c r="V16" s="79">
        <f t="shared" si="2"/>
        <v>21.818181818181817</v>
      </c>
    </row>
    <row r="17" spans="1:22" ht="12">
      <c r="A17" s="191" t="s">
        <v>111</v>
      </c>
      <c r="B17" s="191"/>
      <c r="C17" s="167">
        <f>C18+C19+C20+C21</f>
        <v>44</v>
      </c>
      <c r="D17" s="167">
        <f>D18+D19+D20+D21</f>
        <v>1019</v>
      </c>
      <c r="E17" s="168">
        <f>E18+E19+E20+E21</f>
        <v>497</v>
      </c>
      <c r="F17" s="168">
        <f>F18+F19+F20+F21</f>
        <v>28</v>
      </c>
      <c r="G17" s="168">
        <f>G18+G19+G20+G21</f>
        <v>233</v>
      </c>
      <c r="H17" s="73">
        <f t="shared" si="1"/>
        <v>23.15909090909091</v>
      </c>
      <c r="J17" s="75">
        <f>J18+J19+J20+J21</f>
        <v>8</v>
      </c>
      <c r="K17" s="75">
        <f>K18+K19+K20+K21</f>
        <v>162</v>
      </c>
      <c r="L17" s="80">
        <f>L18+L19+L20+L21</f>
        <v>73</v>
      </c>
      <c r="M17" s="80">
        <f>M18+M19+M20+M21</f>
        <v>4</v>
      </c>
      <c r="N17" s="80">
        <f>N18+N19+N20+N21</f>
        <v>71</v>
      </c>
      <c r="O17" s="74">
        <f t="shared" si="3"/>
        <v>20.25</v>
      </c>
      <c r="Q17" s="75">
        <f t="shared" si="0"/>
        <v>52</v>
      </c>
      <c r="R17" s="75">
        <f t="shared" si="0"/>
        <v>1181</v>
      </c>
      <c r="S17" s="80">
        <f t="shared" si="0"/>
        <v>570</v>
      </c>
      <c r="T17" s="80">
        <f t="shared" si="0"/>
        <v>32</v>
      </c>
      <c r="U17" s="80">
        <f t="shared" si="0"/>
        <v>304</v>
      </c>
      <c r="V17" s="74">
        <f t="shared" si="2"/>
        <v>22.71153846153846</v>
      </c>
    </row>
    <row r="18" spans="1:22" ht="12">
      <c r="A18" s="193"/>
      <c r="B18" s="144" t="s">
        <v>112</v>
      </c>
      <c r="C18" s="198">
        <v>19</v>
      </c>
      <c r="D18" s="198">
        <v>429</v>
      </c>
      <c r="E18" s="199">
        <v>221</v>
      </c>
      <c r="F18" s="199">
        <v>8</v>
      </c>
      <c r="G18" s="199">
        <v>91</v>
      </c>
      <c r="H18" s="200">
        <f t="shared" si="1"/>
        <v>22.57894736842105</v>
      </c>
      <c r="J18" s="123"/>
      <c r="K18" s="123"/>
      <c r="L18" s="153"/>
      <c r="M18" s="153"/>
      <c r="N18" s="153"/>
      <c r="O18" s="79"/>
      <c r="Q18" s="123">
        <f t="shared" si="0"/>
        <v>19</v>
      </c>
      <c r="R18" s="123">
        <f t="shared" si="0"/>
        <v>429</v>
      </c>
      <c r="S18" s="153">
        <f t="shared" si="0"/>
        <v>221</v>
      </c>
      <c r="T18" s="153">
        <f t="shared" si="0"/>
        <v>8</v>
      </c>
      <c r="U18" s="153">
        <f t="shared" si="0"/>
        <v>91</v>
      </c>
      <c r="V18" s="79">
        <f t="shared" si="2"/>
        <v>22.57894736842105</v>
      </c>
    </row>
    <row r="19" spans="1:22" ht="12">
      <c r="A19" s="193"/>
      <c r="B19" s="144" t="s">
        <v>113</v>
      </c>
      <c r="C19" s="198">
        <v>7</v>
      </c>
      <c r="D19" s="198">
        <v>165</v>
      </c>
      <c r="E19" s="199">
        <v>73</v>
      </c>
      <c r="F19" s="199">
        <v>8</v>
      </c>
      <c r="G19" s="199">
        <v>22</v>
      </c>
      <c r="H19" s="200">
        <f t="shared" si="1"/>
        <v>23.571428571428573</v>
      </c>
      <c r="J19" s="123">
        <v>2</v>
      </c>
      <c r="K19" s="123">
        <v>37</v>
      </c>
      <c r="L19" s="153">
        <v>17</v>
      </c>
      <c r="M19" s="153">
        <v>2</v>
      </c>
      <c r="N19" s="153">
        <v>16</v>
      </c>
      <c r="O19" s="79">
        <f t="shared" si="3"/>
        <v>18.5</v>
      </c>
      <c r="Q19" s="123">
        <f t="shared" si="0"/>
        <v>9</v>
      </c>
      <c r="R19" s="123">
        <f t="shared" si="0"/>
        <v>202</v>
      </c>
      <c r="S19" s="153">
        <f t="shared" si="0"/>
        <v>90</v>
      </c>
      <c r="T19" s="153">
        <f t="shared" si="0"/>
        <v>10</v>
      </c>
      <c r="U19" s="153">
        <f t="shared" si="0"/>
        <v>38</v>
      </c>
      <c r="V19" s="79">
        <f t="shared" si="2"/>
        <v>22.444444444444443</v>
      </c>
    </row>
    <row r="20" spans="1:22" ht="12">
      <c r="A20" s="192"/>
      <c r="B20" s="144" t="s">
        <v>114</v>
      </c>
      <c r="C20" s="198">
        <v>2</v>
      </c>
      <c r="D20" s="198">
        <v>51</v>
      </c>
      <c r="E20" s="199">
        <v>23</v>
      </c>
      <c r="F20" s="199">
        <v>3</v>
      </c>
      <c r="G20" s="199">
        <v>9</v>
      </c>
      <c r="H20" s="200">
        <f t="shared" si="1"/>
        <v>25.5</v>
      </c>
      <c r="J20" s="123">
        <v>6</v>
      </c>
      <c r="K20" s="123">
        <v>125</v>
      </c>
      <c r="L20" s="153">
        <v>56</v>
      </c>
      <c r="M20" s="153">
        <v>2</v>
      </c>
      <c r="N20" s="153">
        <v>55</v>
      </c>
      <c r="O20" s="79">
        <f t="shared" si="3"/>
        <v>20.833333333333332</v>
      </c>
      <c r="Q20" s="123">
        <f t="shared" si="0"/>
        <v>8</v>
      </c>
      <c r="R20" s="123">
        <f t="shared" si="0"/>
        <v>176</v>
      </c>
      <c r="S20" s="153">
        <f t="shared" si="0"/>
        <v>79</v>
      </c>
      <c r="T20" s="153">
        <f t="shared" si="0"/>
        <v>5</v>
      </c>
      <c r="U20" s="153">
        <f t="shared" si="0"/>
        <v>64</v>
      </c>
      <c r="V20" s="79">
        <f t="shared" si="2"/>
        <v>22</v>
      </c>
    </row>
    <row r="21" spans="1:22" ht="12">
      <c r="A21" s="192"/>
      <c r="B21" s="144" t="s">
        <v>115</v>
      </c>
      <c r="C21" s="198">
        <v>16</v>
      </c>
      <c r="D21" s="198">
        <v>374</v>
      </c>
      <c r="E21" s="199">
        <v>180</v>
      </c>
      <c r="F21" s="199">
        <v>9</v>
      </c>
      <c r="G21" s="199">
        <v>111</v>
      </c>
      <c r="H21" s="200">
        <f t="shared" si="1"/>
        <v>23.375</v>
      </c>
      <c r="J21" s="123"/>
      <c r="K21" s="123"/>
      <c r="L21" s="153"/>
      <c r="M21" s="153"/>
      <c r="N21" s="153"/>
      <c r="O21" s="79"/>
      <c r="Q21" s="123">
        <f t="shared" si="0"/>
        <v>16</v>
      </c>
      <c r="R21" s="123">
        <f t="shared" si="0"/>
        <v>374</v>
      </c>
      <c r="S21" s="153">
        <f t="shared" si="0"/>
        <v>180</v>
      </c>
      <c r="T21" s="153">
        <f t="shared" si="0"/>
        <v>9</v>
      </c>
      <c r="U21" s="153">
        <f t="shared" si="0"/>
        <v>111</v>
      </c>
      <c r="V21" s="79">
        <f t="shared" si="2"/>
        <v>23.375</v>
      </c>
    </row>
    <row r="22" spans="1:22" ht="12">
      <c r="A22" s="189" t="s">
        <v>116</v>
      </c>
      <c r="B22" s="189"/>
      <c r="C22" s="167">
        <f>C23+C24</f>
        <v>27</v>
      </c>
      <c r="D22" s="167">
        <f>D23+D24</f>
        <v>653</v>
      </c>
      <c r="E22" s="168">
        <f>E23+E24</f>
        <v>324</v>
      </c>
      <c r="F22" s="168">
        <f>F23+F24</f>
        <v>23</v>
      </c>
      <c r="G22" s="168">
        <f>G23+G24</f>
        <v>186</v>
      </c>
      <c r="H22" s="73">
        <f t="shared" si="1"/>
        <v>24.185185185185187</v>
      </c>
      <c r="J22" s="75">
        <f>J23+J24</f>
        <v>26</v>
      </c>
      <c r="K22" s="75">
        <f>K23+K24</f>
        <v>504</v>
      </c>
      <c r="L22" s="80">
        <f>L23+L24</f>
        <v>239</v>
      </c>
      <c r="M22" s="80">
        <f>M23+M24</f>
        <v>19</v>
      </c>
      <c r="N22" s="80">
        <f>N23+N24</f>
        <v>293</v>
      </c>
      <c r="O22" s="74">
        <f t="shared" si="3"/>
        <v>19.384615384615383</v>
      </c>
      <c r="Q22" s="75">
        <f t="shared" si="0"/>
        <v>53</v>
      </c>
      <c r="R22" s="75">
        <f t="shared" si="0"/>
        <v>1157</v>
      </c>
      <c r="S22" s="80">
        <f t="shared" si="0"/>
        <v>563</v>
      </c>
      <c r="T22" s="80">
        <f t="shared" si="0"/>
        <v>42</v>
      </c>
      <c r="U22" s="80">
        <f t="shared" si="0"/>
        <v>479</v>
      </c>
      <c r="V22" s="74">
        <f t="shared" si="2"/>
        <v>21.830188679245282</v>
      </c>
    </row>
    <row r="23" spans="1:22" ht="12">
      <c r="A23" s="193"/>
      <c r="B23" s="144" t="s">
        <v>117</v>
      </c>
      <c r="C23" s="198">
        <v>16</v>
      </c>
      <c r="D23" s="198">
        <v>383</v>
      </c>
      <c r="E23" s="199">
        <v>202</v>
      </c>
      <c r="F23" s="199">
        <v>15</v>
      </c>
      <c r="G23" s="199">
        <v>134</v>
      </c>
      <c r="H23" s="200">
        <f t="shared" si="1"/>
        <v>23.9375</v>
      </c>
      <c r="J23" s="123">
        <v>16</v>
      </c>
      <c r="K23" s="123">
        <v>324</v>
      </c>
      <c r="L23" s="153">
        <v>154</v>
      </c>
      <c r="M23" s="153">
        <v>11</v>
      </c>
      <c r="N23" s="153">
        <v>180</v>
      </c>
      <c r="O23" s="79">
        <f t="shared" si="3"/>
        <v>20.25</v>
      </c>
      <c r="Q23" s="123">
        <f t="shared" si="0"/>
        <v>32</v>
      </c>
      <c r="R23" s="123">
        <f t="shared" si="0"/>
        <v>707</v>
      </c>
      <c r="S23" s="153">
        <f t="shared" si="0"/>
        <v>356</v>
      </c>
      <c r="T23" s="153">
        <f t="shared" si="0"/>
        <v>26</v>
      </c>
      <c r="U23" s="153">
        <f t="shared" si="0"/>
        <v>314</v>
      </c>
      <c r="V23" s="79">
        <f t="shared" si="2"/>
        <v>22.09375</v>
      </c>
    </row>
    <row r="24" spans="1:22" ht="12">
      <c r="A24" s="193"/>
      <c r="B24" s="144" t="s">
        <v>118</v>
      </c>
      <c r="C24" s="198">
        <v>11</v>
      </c>
      <c r="D24" s="198">
        <v>270</v>
      </c>
      <c r="E24" s="199">
        <v>122</v>
      </c>
      <c r="F24" s="199">
        <v>8</v>
      </c>
      <c r="G24" s="199">
        <v>52</v>
      </c>
      <c r="H24" s="200">
        <f t="shared" si="1"/>
        <v>24.545454545454547</v>
      </c>
      <c r="J24" s="123">
        <v>10</v>
      </c>
      <c r="K24" s="123">
        <v>180</v>
      </c>
      <c r="L24" s="153">
        <v>85</v>
      </c>
      <c r="M24" s="153">
        <v>8</v>
      </c>
      <c r="N24" s="153">
        <v>113</v>
      </c>
      <c r="O24" s="79">
        <f t="shared" si="3"/>
        <v>18</v>
      </c>
      <c r="Q24" s="123">
        <f t="shared" si="0"/>
        <v>21</v>
      </c>
      <c r="R24" s="123">
        <f t="shared" si="0"/>
        <v>450</v>
      </c>
      <c r="S24" s="153">
        <f t="shared" si="0"/>
        <v>207</v>
      </c>
      <c r="T24" s="153">
        <f t="shared" si="0"/>
        <v>16</v>
      </c>
      <c r="U24" s="153">
        <f t="shared" si="0"/>
        <v>165</v>
      </c>
      <c r="V24" s="79">
        <f t="shared" si="2"/>
        <v>21.428571428571427</v>
      </c>
    </row>
    <row r="25" spans="1:22" ht="12">
      <c r="A25" s="191" t="s">
        <v>37</v>
      </c>
      <c r="B25" s="191"/>
      <c r="C25" s="167">
        <f>C26+C27+C28+C29</f>
        <v>40</v>
      </c>
      <c r="D25" s="167">
        <f>D26+D27+D28+D29</f>
        <v>886</v>
      </c>
      <c r="E25" s="168">
        <f>E26+E27+E28+E29</f>
        <v>438</v>
      </c>
      <c r="F25" s="168">
        <f>F26+F27+F28+F29</f>
        <v>31</v>
      </c>
      <c r="G25" s="168">
        <f>G26+G27+G28+G29</f>
        <v>96</v>
      </c>
      <c r="H25" s="73">
        <f t="shared" si="1"/>
        <v>22.15</v>
      </c>
      <c r="J25" s="75">
        <f>J26+J27+J28+J29</f>
        <v>5</v>
      </c>
      <c r="K25" s="75">
        <f>K26+K27+K28+K29</f>
        <v>124</v>
      </c>
      <c r="L25" s="80">
        <f>L26+L27+L28+L29</f>
        <v>55</v>
      </c>
      <c r="M25" s="80">
        <f>M26+M27+M28+M29</f>
        <v>0</v>
      </c>
      <c r="N25" s="80">
        <f>N26+N27+N28+N29</f>
        <v>16</v>
      </c>
      <c r="O25" s="74">
        <f t="shared" si="3"/>
        <v>24.8</v>
      </c>
      <c r="Q25" s="75">
        <f t="shared" si="0"/>
        <v>45</v>
      </c>
      <c r="R25" s="75">
        <f t="shared" si="0"/>
        <v>1010</v>
      </c>
      <c r="S25" s="80">
        <f t="shared" si="0"/>
        <v>493</v>
      </c>
      <c r="T25" s="80">
        <f t="shared" si="0"/>
        <v>31</v>
      </c>
      <c r="U25" s="80">
        <f t="shared" si="0"/>
        <v>112</v>
      </c>
      <c r="V25" s="74">
        <f t="shared" si="2"/>
        <v>22.444444444444443</v>
      </c>
    </row>
    <row r="26" spans="1:22" ht="12">
      <c r="A26" s="193"/>
      <c r="B26" s="144" t="s">
        <v>119</v>
      </c>
      <c r="C26" s="198">
        <v>6</v>
      </c>
      <c r="D26" s="198">
        <v>119</v>
      </c>
      <c r="E26" s="199">
        <v>59</v>
      </c>
      <c r="F26" s="199">
        <v>1</v>
      </c>
      <c r="G26" s="199">
        <v>7</v>
      </c>
      <c r="H26" s="200">
        <f t="shared" si="1"/>
        <v>19.833333333333332</v>
      </c>
      <c r="J26" s="123"/>
      <c r="K26" s="123"/>
      <c r="L26" s="153"/>
      <c r="M26" s="153"/>
      <c r="N26" s="153"/>
      <c r="O26" s="79"/>
      <c r="Q26" s="123">
        <f t="shared" si="0"/>
        <v>6</v>
      </c>
      <c r="R26" s="123">
        <f t="shared" si="0"/>
        <v>119</v>
      </c>
      <c r="S26" s="153">
        <f t="shared" si="0"/>
        <v>59</v>
      </c>
      <c r="T26" s="153">
        <f t="shared" si="0"/>
        <v>1</v>
      </c>
      <c r="U26" s="153">
        <f t="shared" si="0"/>
        <v>7</v>
      </c>
      <c r="V26" s="79">
        <f t="shared" si="2"/>
        <v>19.833333333333332</v>
      </c>
    </row>
    <row r="27" spans="1:22" ht="12">
      <c r="A27" s="193"/>
      <c r="B27" s="144" t="s">
        <v>120</v>
      </c>
      <c r="C27" s="198">
        <v>9</v>
      </c>
      <c r="D27" s="198">
        <v>199</v>
      </c>
      <c r="E27" s="199">
        <v>97</v>
      </c>
      <c r="F27" s="199">
        <v>6</v>
      </c>
      <c r="G27" s="199">
        <v>14</v>
      </c>
      <c r="H27" s="200">
        <f t="shared" si="1"/>
        <v>22.11111111111111</v>
      </c>
      <c r="J27" s="123"/>
      <c r="K27" s="123"/>
      <c r="L27" s="153"/>
      <c r="M27" s="153"/>
      <c r="N27" s="153"/>
      <c r="O27" s="79"/>
      <c r="Q27" s="123">
        <f t="shared" si="0"/>
        <v>9</v>
      </c>
      <c r="R27" s="123">
        <f t="shared" si="0"/>
        <v>199</v>
      </c>
      <c r="S27" s="153">
        <f t="shared" si="0"/>
        <v>97</v>
      </c>
      <c r="T27" s="153">
        <f t="shared" si="0"/>
        <v>6</v>
      </c>
      <c r="U27" s="153">
        <f t="shared" si="0"/>
        <v>14</v>
      </c>
      <c r="V27" s="79">
        <f t="shared" si="2"/>
        <v>22.11111111111111</v>
      </c>
    </row>
    <row r="28" spans="1:22" ht="12">
      <c r="A28" s="192"/>
      <c r="B28" s="144" t="s">
        <v>121</v>
      </c>
      <c r="C28" s="198">
        <v>9</v>
      </c>
      <c r="D28" s="198">
        <v>221</v>
      </c>
      <c r="E28" s="199">
        <v>113</v>
      </c>
      <c r="F28" s="199">
        <v>10</v>
      </c>
      <c r="G28" s="199">
        <v>38</v>
      </c>
      <c r="H28" s="200">
        <f t="shared" si="1"/>
        <v>24.555555555555557</v>
      </c>
      <c r="J28" s="123"/>
      <c r="K28" s="123"/>
      <c r="L28" s="153"/>
      <c r="M28" s="153"/>
      <c r="N28" s="153"/>
      <c r="O28" s="79"/>
      <c r="Q28" s="123">
        <f t="shared" si="0"/>
        <v>9</v>
      </c>
      <c r="R28" s="123">
        <f t="shared" si="0"/>
        <v>221</v>
      </c>
      <c r="S28" s="153">
        <f t="shared" si="0"/>
        <v>113</v>
      </c>
      <c r="T28" s="153">
        <f t="shared" si="0"/>
        <v>10</v>
      </c>
      <c r="U28" s="153">
        <f t="shared" si="0"/>
        <v>38</v>
      </c>
      <c r="V28" s="79">
        <f t="shared" si="2"/>
        <v>24.555555555555557</v>
      </c>
    </row>
    <row r="29" spans="1:22" ht="12">
      <c r="A29" s="193"/>
      <c r="B29" s="144" t="s">
        <v>122</v>
      </c>
      <c r="C29" s="198">
        <v>16</v>
      </c>
      <c r="D29" s="198">
        <v>347</v>
      </c>
      <c r="E29" s="199">
        <v>169</v>
      </c>
      <c r="F29" s="199">
        <v>14</v>
      </c>
      <c r="G29" s="199">
        <v>37</v>
      </c>
      <c r="H29" s="200">
        <f t="shared" si="1"/>
        <v>21.6875</v>
      </c>
      <c r="J29" s="123">
        <v>5</v>
      </c>
      <c r="K29" s="123">
        <v>124</v>
      </c>
      <c r="L29" s="153">
        <v>55</v>
      </c>
      <c r="M29" s="153">
        <v>0</v>
      </c>
      <c r="N29" s="153">
        <v>16</v>
      </c>
      <c r="O29" s="79">
        <f t="shared" si="3"/>
        <v>24.8</v>
      </c>
      <c r="Q29" s="123">
        <f t="shared" si="0"/>
        <v>21</v>
      </c>
      <c r="R29" s="123">
        <f t="shared" si="0"/>
        <v>471</v>
      </c>
      <c r="S29" s="153">
        <f t="shared" si="0"/>
        <v>224</v>
      </c>
      <c r="T29" s="153">
        <f t="shared" si="0"/>
        <v>14</v>
      </c>
      <c r="U29" s="153">
        <f t="shared" si="0"/>
        <v>53</v>
      </c>
      <c r="V29" s="79">
        <f t="shared" si="2"/>
        <v>22.428571428571427</v>
      </c>
    </row>
    <row r="30" spans="1:22" ht="12">
      <c r="A30" s="191" t="s">
        <v>17</v>
      </c>
      <c r="B30" s="191"/>
      <c r="C30" s="75">
        <f>C31+C32</f>
        <v>27</v>
      </c>
      <c r="D30" s="75">
        <f>D31+D32</f>
        <v>671</v>
      </c>
      <c r="E30" s="80">
        <f>E31+E32</f>
        <v>325</v>
      </c>
      <c r="F30" s="80">
        <f>F31+F32</f>
        <v>24</v>
      </c>
      <c r="G30" s="80">
        <f>G31+G32</f>
        <v>150</v>
      </c>
      <c r="H30" s="74">
        <f t="shared" si="1"/>
        <v>24.85185185185185</v>
      </c>
      <c r="J30" s="75">
        <f>J31+J32</f>
        <v>17</v>
      </c>
      <c r="K30" s="75">
        <f>K31+K32</f>
        <v>396</v>
      </c>
      <c r="L30" s="80">
        <f>L31+L32</f>
        <v>213</v>
      </c>
      <c r="M30" s="80">
        <f>M31+M32</f>
        <v>10</v>
      </c>
      <c r="N30" s="80">
        <f>N31+N32</f>
        <v>160</v>
      </c>
      <c r="O30" s="74">
        <f t="shared" si="3"/>
        <v>23.294117647058822</v>
      </c>
      <c r="Q30" s="75">
        <f t="shared" si="0"/>
        <v>44</v>
      </c>
      <c r="R30" s="75">
        <f t="shared" si="0"/>
        <v>1067</v>
      </c>
      <c r="S30" s="80">
        <f t="shared" si="0"/>
        <v>538</v>
      </c>
      <c r="T30" s="80">
        <f t="shared" si="0"/>
        <v>34</v>
      </c>
      <c r="U30" s="80">
        <f t="shared" si="0"/>
        <v>310</v>
      </c>
      <c r="V30" s="74">
        <f t="shared" si="2"/>
        <v>24.25</v>
      </c>
    </row>
    <row r="31" spans="1:22" ht="12">
      <c r="A31" s="192"/>
      <c r="B31" s="144" t="s">
        <v>123</v>
      </c>
      <c r="C31" s="123">
        <v>19</v>
      </c>
      <c r="D31" s="123">
        <v>468</v>
      </c>
      <c r="E31" s="153">
        <v>225</v>
      </c>
      <c r="F31" s="153">
        <v>17</v>
      </c>
      <c r="G31" s="153">
        <v>103</v>
      </c>
      <c r="H31" s="79">
        <f t="shared" si="1"/>
        <v>24.63157894736842</v>
      </c>
      <c r="J31" s="123">
        <v>11</v>
      </c>
      <c r="K31" s="123">
        <v>259</v>
      </c>
      <c r="L31" s="153">
        <v>136</v>
      </c>
      <c r="M31" s="153">
        <v>6</v>
      </c>
      <c r="N31" s="153">
        <v>109</v>
      </c>
      <c r="O31" s="79">
        <f t="shared" si="3"/>
        <v>23.545454545454547</v>
      </c>
      <c r="Q31" s="123">
        <f t="shared" si="0"/>
        <v>30</v>
      </c>
      <c r="R31" s="123">
        <f t="shared" si="0"/>
        <v>727</v>
      </c>
      <c r="S31" s="153">
        <f t="shared" si="0"/>
        <v>361</v>
      </c>
      <c r="T31" s="153">
        <f t="shared" si="0"/>
        <v>23</v>
      </c>
      <c r="U31" s="153">
        <f t="shared" si="0"/>
        <v>212</v>
      </c>
      <c r="V31" s="79">
        <f t="shared" si="2"/>
        <v>24.233333333333334</v>
      </c>
    </row>
    <row r="32" spans="1:22" ht="12">
      <c r="A32" s="193"/>
      <c r="B32" s="144" t="s">
        <v>124</v>
      </c>
      <c r="C32" s="123">
        <v>8</v>
      </c>
      <c r="D32" s="123">
        <v>203</v>
      </c>
      <c r="E32" s="153">
        <v>100</v>
      </c>
      <c r="F32" s="153">
        <v>7</v>
      </c>
      <c r="G32" s="153">
        <v>47</v>
      </c>
      <c r="H32" s="79">
        <f t="shared" si="1"/>
        <v>25.375</v>
      </c>
      <c r="J32" s="123">
        <v>6</v>
      </c>
      <c r="K32" s="123">
        <v>137</v>
      </c>
      <c r="L32" s="153">
        <v>77</v>
      </c>
      <c r="M32" s="153">
        <v>4</v>
      </c>
      <c r="N32" s="153">
        <v>51</v>
      </c>
      <c r="O32" s="79">
        <f t="shared" si="3"/>
        <v>22.833333333333332</v>
      </c>
      <c r="Q32" s="123">
        <f t="shared" si="0"/>
        <v>14</v>
      </c>
      <c r="R32" s="123">
        <f t="shared" si="0"/>
        <v>340</v>
      </c>
      <c r="S32" s="153">
        <f t="shared" si="0"/>
        <v>177</v>
      </c>
      <c r="T32" s="153">
        <f t="shared" si="0"/>
        <v>11</v>
      </c>
      <c r="U32" s="153">
        <f t="shared" si="0"/>
        <v>98</v>
      </c>
      <c r="V32" s="79">
        <f t="shared" si="2"/>
        <v>24.285714285714285</v>
      </c>
    </row>
    <row r="33" spans="1:22" ht="12">
      <c r="A33" s="194" t="s">
        <v>125</v>
      </c>
      <c r="B33" s="194"/>
      <c r="C33" s="80">
        <f>+C19+C28+C27+C20</f>
        <v>27</v>
      </c>
      <c r="D33" s="80">
        <f>+D19+D28+D27+D20</f>
        <v>636</v>
      </c>
      <c r="E33" s="80">
        <f>+E19+E28+E27+E20</f>
        <v>306</v>
      </c>
      <c r="F33" s="80">
        <f>+F19+F28+F27+F20</f>
        <v>27</v>
      </c>
      <c r="G33" s="80">
        <f>+G19+G28+G27+G20</f>
        <v>83</v>
      </c>
      <c r="H33" s="195">
        <f t="shared" si="1"/>
        <v>23.555555555555557</v>
      </c>
      <c r="J33" s="80">
        <f>+J19+J28+J27+J20</f>
        <v>8</v>
      </c>
      <c r="K33" s="80">
        <f>+K19+K28+K27+K20</f>
        <v>162</v>
      </c>
      <c r="L33" s="80">
        <f>+L19+L28+L27+L20</f>
        <v>73</v>
      </c>
      <c r="M33" s="80">
        <f>+M19+M28+M27+M20</f>
        <v>4</v>
      </c>
      <c r="N33" s="80">
        <f>+N19+N28+N27+N20</f>
        <v>71</v>
      </c>
      <c r="O33" s="195">
        <f t="shared" si="3"/>
        <v>20.25</v>
      </c>
      <c r="Q33" s="80">
        <f t="shared" si="0"/>
        <v>35</v>
      </c>
      <c r="R33" s="80">
        <f t="shared" si="0"/>
        <v>798</v>
      </c>
      <c r="S33" s="80">
        <f t="shared" si="0"/>
        <v>379</v>
      </c>
      <c r="T33" s="80">
        <f t="shared" si="0"/>
        <v>31</v>
      </c>
      <c r="U33" s="80">
        <f t="shared" si="0"/>
        <v>154</v>
      </c>
      <c r="V33" s="195">
        <f t="shared" si="2"/>
        <v>22.8</v>
      </c>
    </row>
    <row r="34" spans="1:22" ht="12">
      <c r="A34" s="194" t="s">
        <v>126</v>
      </c>
      <c r="B34" s="194"/>
      <c r="C34" s="80">
        <f>+C10+C11+C12+C14+C15+C16+C18+C21+C23+C24+C26+C29+C31+C32</f>
        <v>188</v>
      </c>
      <c r="D34" s="80">
        <f>+D10+D11+D12+D14+D15+D16+D18+D21+D23+D24+D26+D29+D31+D32</f>
        <v>4447</v>
      </c>
      <c r="E34" s="80">
        <f>+E10+E11+E12+E14+E15+E16+E18+E21+E23+E24+E26+E29+E31+E32</f>
        <v>2150</v>
      </c>
      <c r="F34" s="80">
        <f>+F10+F11+F12+F14+F15+F16+F18+F21+F23+F24+F26+F29+F31+F32</f>
        <v>145</v>
      </c>
      <c r="G34" s="80">
        <f>+G10+G11+G12+G14+G15+G16+G18+G21+G23+G24+G26+G29+G31+G32</f>
        <v>1272</v>
      </c>
      <c r="H34" s="195">
        <f t="shared" si="1"/>
        <v>23.654255319148938</v>
      </c>
      <c r="J34" s="80">
        <f>+J10+J11+J12+J14+J15+J16+J18+J21+J23+J24+J26+J29+J31+J32</f>
        <v>72</v>
      </c>
      <c r="K34" s="80">
        <f>+K10+K11+K12+K14+K15+K16+K18+K21+K23+K24+K26+K29+K31+K32</f>
        <v>1564</v>
      </c>
      <c r="L34" s="80">
        <f>+L10+L11+L12+L14+L15+L16+L18+L21+L23+L24+L26+L29+L31+L32</f>
        <v>781</v>
      </c>
      <c r="M34" s="80">
        <f>+M10+M11+M12+M14+M15+M16+M18+M21+M23+M24+M26+M29+M31+M32</f>
        <v>40</v>
      </c>
      <c r="N34" s="80">
        <f>+N10+N11+N12+N14+N15+N16+N18+N21+N23+N24+N26+N29+N31+N32</f>
        <v>780</v>
      </c>
      <c r="O34" s="195">
        <f t="shared" si="3"/>
        <v>21.72222222222222</v>
      </c>
      <c r="Q34" s="80">
        <f t="shared" si="0"/>
        <v>260</v>
      </c>
      <c r="R34" s="80">
        <f t="shared" si="0"/>
        <v>6011</v>
      </c>
      <c r="S34" s="80">
        <f t="shared" si="0"/>
        <v>2931</v>
      </c>
      <c r="T34" s="80">
        <f t="shared" si="0"/>
        <v>185</v>
      </c>
      <c r="U34" s="80">
        <f t="shared" si="0"/>
        <v>2052</v>
      </c>
      <c r="V34" s="195">
        <f t="shared" si="2"/>
        <v>23.119230769230768</v>
      </c>
    </row>
    <row r="35" spans="1:22" ht="12">
      <c r="A35" s="196" t="s">
        <v>48</v>
      </c>
      <c r="B35" s="196"/>
      <c r="C35" s="171">
        <f>+C9+C13+C17+C22+C25+C30</f>
        <v>215</v>
      </c>
      <c r="D35" s="171">
        <f>+D9+D13+D17+D22+D25+D30</f>
        <v>5083</v>
      </c>
      <c r="E35" s="93">
        <f>+E9+E13+E17+E22+E25+E30</f>
        <v>2456</v>
      </c>
      <c r="F35" s="93">
        <f>+F9+F13+F17+F22+F25+F30</f>
        <v>172</v>
      </c>
      <c r="G35" s="93">
        <f>+G9+G13+G17+G22+G25+G30</f>
        <v>1355</v>
      </c>
      <c r="H35" s="94">
        <f t="shared" si="1"/>
        <v>23.641860465116277</v>
      </c>
      <c r="J35" s="171">
        <f>+J9+J13+J17+J22+J25+J30</f>
        <v>80</v>
      </c>
      <c r="K35" s="171">
        <f>+K9+K13+K17+K22+K25+K30</f>
        <v>1726</v>
      </c>
      <c r="L35" s="93">
        <f>+L9+L13+L17+L22+L25+L30</f>
        <v>854</v>
      </c>
      <c r="M35" s="93">
        <f>+M9+M13+M17+M22+M25+M30</f>
        <v>44</v>
      </c>
      <c r="N35" s="93">
        <f>+N9+N13+N17+N22+N25+N30</f>
        <v>851</v>
      </c>
      <c r="O35" s="94">
        <f t="shared" si="3"/>
        <v>21.575</v>
      </c>
      <c r="Q35" s="171">
        <f t="shared" si="0"/>
        <v>295</v>
      </c>
      <c r="R35" s="171">
        <f>K35+D35</f>
        <v>6809</v>
      </c>
      <c r="S35" s="93">
        <f t="shared" si="0"/>
        <v>3310</v>
      </c>
      <c r="T35" s="93">
        <f t="shared" si="0"/>
        <v>216</v>
      </c>
      <c r="U35" s="93">
        <f t="shared" si="0"/>
        <v>2206</v>
      </c>
      <c r="V35" s="94">
        <f>R35/Q35</f>
        <v>23.08135593220339</v>
      </c>
    </row>
    <row r="36" spans="1:22" ht="12">
      <c r="A36" s="97" t="s">
        <v>134</v>
      </c>
      <c r="B36" s="106"/>
      <c r="C36" s="107"/>
      <c r="D36" s="106"/>
      <c r="E36" s="106"/>
      <c r="F36" s="106"/>
      <c r="G36" s="106"/>
      <c r="H36" s="107"/>
      <c r="I36" s="107"/>
      <c r="J36" s="108"/>
      <c r="K36" s="108"/>
      <c r="L36" s="197"/>
      <c r="M36" s="108"/>
      <c r="N36" s="109"/>
      <c r="O36" s="109"/>
      <c r="P36" s="106"/>
      <c r="Q36" s="106"/>
      <c r="T36" s="106"/>
      <c r="U36" s="106"/>
      <c r="V36" s="106"/>
    </row>
    <row r="37" spans="1:22" ht="12">
      <c r="A37" s="97" t="s">
        <v>59</v>
      </c>
      <c r="B37" s="106"/>
      <c r="C37" s="107"/>
      <c r="D37" s="106"/>
      <c r="E37" s="106"/>
      <c r="F37" s="106"/>
      <c r="G37" s="106"/>
      <c r="H37" s="107"/>
      <c r="I37" s="107"/>
      <c r="J37" s="108"/>
      <c r="K37" s="108"/>
      <c r="L37" s="197"/>
      <c r="M37" s="108"/>
      <c r="N37" s="109"/>
      <c r="O37" s="109"/>
      <c r="P37" s="106"/>
      <c r="Q37" s="106"/>
      <c r="R37" s="106"/>
      <c r="S37" s="106"/>
      <c r="T37" s="106"/>
      <c r="U37" s="106"/>
      <c r="V37" s="106"/>
    </row>
    <row r="38" spans="1:22" ht="12">
      <c r="A38" s="105" t="s">
        <v>60</v>
      </c>
      <c r="B38" s="106"/>
      <c r="C38" s="107"/>
      <c r="D38" s="106"/>
      <c r="E38" s="106"/>
      <c r="F38" s="106"/>
      <c r="G38" s="106"/>
      <c r="H38" s="107"/>
      <c r="I38" s="107"/>
      <c r="J38" s="108"/>
      <c r="K38" s="108"/>
      <c r="L38" s="108"/>
      <c r="M38" s="108"/>
      <c r="N38" s="109"/>
      <c r="O38" s="109"/>
      <c r="P38" s="106"/>
      <c r="Q38" s="106"/>
      <c r="R38" s="106"/>
      <c r="S38" s="106"/>
      <c r="T38" s="106"/>
      <c r="U38" s="106"/>
      <c r="V38" s="106"/>
    </row>
    <row r="39" spans="1:22" ht="12">
      <c r="A39" s="105" t="s">
        <v>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6"/>
      <c r="Q39" s="106"/>
      <c r="R39" s="106"/>
      <c r="S39" s="106"/>
      <c r="T39" s="106"/>
      <c r="U39" s="106"/>
      <c r="V39" s="106"/>
    </row>
    <row r="40" spans="1:22" ht="12">
      <c r="A40" s="97" t="s">
        <v>85</v>
      </c>
      <c r="B40" s="106"/>
      <c r="C40" s="107"/>
      <c r="D40" s="107"/>
      <c r="E40" s="106"/>
      <c r="F40" s="106"/>
      <c r="G40" s="106"/>
      <c r="H40" s="107"/>
      <c r="I40" s="108"/>
      <c r="J40" s="108"/>
      <c r="K40" s="108"/>
      <c r="L40" s="109"/>
      <c r="M40" s="106"/>
      <c r="N40" s="106"/>
      <c r="O40" s="106"/>
      <c r="P40" s="106"/>
      <c r="Q40" s="106"/>
      <c r="R40" s="106"/>
      <c r="S40" s="106"/>
      <c r="T40" s="144"/>
      <c r="U40" s="144"/>
      <c r="V40" s="144"/>
    </row>
    <row r="41" spans="1:19" ht="12">
      <c r="A41" s="97" t="s">
        <v>90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96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ht="12">
      <c r="A45" s="97" t="s">
        <v>101</v>
      </c>
    </row>
    <row r="46" ht="12">
      <c r="A46" s="109" t="s">
        <v>135</v>
      </c>
    </row>
    <row r="47" ht="12">
      <c r="A47" s="109" t="s">
        <v>136</v>
      </c>
    </row>
    <row r="48" ht="12">
      <c r="A48" s="109" t="s">
        <v>137</v>
      </c>
    </row>
    <row r="49" ht="12">
      <c r="A49" s="109" t="s">
        <v>138</v>
      </c>
    </row>
    <row r="50" ht="12">
      <c r="A50" s="109" t="s">
        <v>139</v>
      </c>
    </row>
    <row r="51" ht="12">
      <c r="A51" s="109" t="s">
        <v>140</v>
      </c>
    </row>
    <row r="53" ht="12">
      <c r="A53" s="105" t="s">
        <v>142</v>
      </c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&amp;R400042.xls</oddHeader>
    <oddFooter>&amp;LComune di Bologna - Dipartimento Programmazione</oddFooter>
  </headerFooter>
  <ignoredErrors>
    <ignoredError sqref="C9:V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1">
      <selection activeCell="A53" sqref="A53"/>
    </sheetView>
  </sheetViews>
  <sheetFormatPr defaultColWidth="10.625" defaultRowHeight="12"/>
  <cols>
    <col min="1" max="1" width="15.25390625" style="21" customWidth="1"/>
    <col min="2" max="2" width="15.25390625" style="21" bestFit="1" customWidth="1"/>
    <col min="3" max="6" width="8.125" style="21" customWidth="1"/>
    <col min="7" max="7" width="7.875" style="21" bestFit="1" customWidth="1"/>
    <col min="8" max="8" width="9.125" style="21" customWidth="1"/>
    <col min="9" max="9" width="2.125" style="21" customWidth="1"/>
    <col min="10" max="12" width="8.125" style="21" customWidth="1"/>
    <col min="13" max="13" width="8.75390625" style="21" bestFit="1" customWidth="1"/>
    <col min="14" max="14" width="7.875" style="21" bestFit="1" customWidth="1"/>
    <col min="15" max="15" width="8.125" style="21" customWidth="1"/>
    <col min="16" max="16" width="2.25390625" style="21" customWidth="1"/>
    <col min="17" max="18" width="8.125" style="21" customWidth="1"/>
    <col min="19" max="19" width="7.125" style="21" customWidth="1"/>
    <col min="20" max="20" width="8.875" style="21" bestFit="1" customWidth="1"/>
    <col min="21" max="21" width="6.75390625" style="21" customWidth="1"/>
    <col min="22" max="22" width="9.25390625" style="21" bestFit="1" customWidth="1"/>
    <col min="23" max="23" width="0.6171875" style="2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133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49"/>
      <c r="U2" s="49"/>
      <c r="V2" s="49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53" t="s">
        <v>103</v>
      </c>
      <c r="C3" s="202" t="s">
        <v>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3"/>
      <c r="X3" s="23"/>
      <c r="Y3" s="23"/>
      <c r="Z3" s="23"/>
      <c r="AA3" s="23"/>
      <c r="AB3" s="23"/>
      <c r="AC3" s="23"/>
      <c r="AD3" s="23"/>
    </row>
    <row r="4" spans="1:30" ht="12">
      <c r="A4" s="187"/>
      <c r="B4" s="187"/>
      <c r="C4" s="203" t="s">
        <v>2</v>
      </c>
      <c r="D4" s="203"/>
      <c r="E4" s="203"/>
      <c r="F4" s="203"/>
      <c r="G4" s="203"/>
      <c r="H4" s="203"/>
      <c r="I4" s="115"/>
      <c r="J4" s="203" t="s">
        <v>3</v>
      </c>
      <c r="K4" s="203"/>
      <c r="L4" s="203"/>
      <c r="M4" s="203"/>
      <c r="N4" s="203"/>
      <c r="O4" s="203"/>
      <c r="P4" s="115"/>
      <c r="Q4" s="203" t="s">
        <v>20</v>
      </c>
      <c r="R4" s="203"/>
      <c r="S4" s="203"/>
      <c r="T4" s="203"/>
      <c r="U4" s="203"/>
      <c r="V4" s="203"/>
      <c r="W4" s="24"/>
      <c r="X4" s="24"/>
      <c r="Y4" s="24"/>
      <c r="Z4" s="24"/>
      <c r="AA4" s="23"/>
      <c r="AB4" s="23"/>
      <c r="AC4" s="23"/>
      <c r="AD4" s="24"/>
    </row>
    <row r="5" spans="1:29" ht="12">
      <c r="A5" s="187"/>
      <c r="B5" s="187"/>
      <c r="C5" s="57" t="s">
        <v>4</v>
      </c>
      <c r="D5" s="202" t="s">
        <v>5</v>
      </c>
      <c r="E5" s="202"/>
      <c r="F5" s="202"/>
      <c r="G5" s="202"/>
      <c r="H5" s="202"/>
      <c r="I5" s="112"/>
      <c r="J5" s="57" t="s">
        <v>4</v>
      </c>
      <c r="K5" s="204" t="s">
        <v>5</v>
      </c>
      <c r="L5" s="204"/>
      <c r="M5" s="204"/>
      <c r="N5" s="204"/>
      <c r="O5" s="204"/>
      <c r="P5" s="112"/>
      <c r="Q5" s="57" t="s">
        <v>4</v>
      </c>
      <c r="R5" s="204" t="s">
        <v>5</v>
      </c>
      <c r="S5" s="204"/>
      <c r="T5" s="204"/>
      <c r="U5" s="204"/>
      <c r="V5" s="204"/>
      <c r="AA5" s="24"/>
      <c r="AB5" s="24"/>
      <c r="AC5" s="24"/>
    </row>
    <row r="6" spans="1:22" ht="12">
      <c r="A6" s="187"/>
      <c r="B6" s="187"/>
      <c r="C6" s="58"/>
      <c r="D6" s="58" t="s">
        <v>6</v>
      </c>
      <c r="E6" s="59" t="s">
        <v>19</v>
      </c>
      <c r="F6" s="59" t="s">
        <v>19</v>
      </c>
      <c r="G6" s="59" t="s">
        <v>19</v>
      </c>
      <c r="H6" s="58" t="s">
        <v>22</v>
      </c>
      <c r="I6" s="58"/>
      <c r="J6" s="58"/>
      <c r="K6" s="58" t="s">
        <v>6</v>
      </c>
      <c r="L6" s="59" t="s">
        <v>19</v>
      </c>
      <c r="M6" s="59" t="s">
        <v>19</v>
      </c>
      <c r="N6" s="59" t="s">
        <v>19</v>
      </c>
      <c r="O6" s="58" t="s">
        <v>22</v>
      </c>
      <c r="P6" s="58"/>
      <c r="Q6" s="58"/>
      <c r="R6" s="58" t="s">
        <v>6</v>
      </c>
      <c r="S6" s="59" t="s">
        <v>19</v>
      </c>
      <c r="T6" s="59" t="s">
        <v>19</v>
      </c>
      <c r="U6" s="59" t="s">
        <v>19</v>
      </c>
      <c r="V6" s="58" t="s">
        <v>22</v>
      </c>
    </row>
    <row r="7" spans="1:22" ht="12">
      <c r="A7" s="187"/>
      <c r="B7" s="187"/>
      <c r="C7" s="58"/>
      <c r="D7" s="58"/>
      <c r="E7" s="59" t="s">
        <v>57</v>
      </c>
      <c r="F7" s="59" t="s">
        <v>27</v>
      </c>
      <c r="G7" s="59" t="s">
        <v>23</v>
      </c>
      <c r="H7" s="133" t="s">
        <v>24</v>
      </c>
      <c r="I7" s="58"/>
      <c r="J7" s="58"/>
      <c r="K7" s="58"/>
      <c r="L7" s="59" t="s">
        <v>57</v>
      </c>
      <c r="M7" s="59" t="s">
        <v>27</v>
      </c>
      <c r="N7" s="59" t="s">
        <v>23</v>
      </c>
      <c r="O7" s="133" t="s">
        <v>24</v>
      </c>
      <c r="P7" s="58"/>
      <c r="Q7" s="58"/>
      <c r="R7" s="58"/>
      <c r="S7" s="59" t="s">
        <v>57</v>
      </c>
      <c r="T7" s="59" t="s">
        <v>27</v>
      </c>
      <c r="U7" s="59" t="s">
        <v>23</v>
      </c>
      <c r="V7" s="133" t="s">
        <v>24</v>
      </c>
    </row>
    <row r="8" spans="1:22" ht="12">
      <c r="A8" s="188"/>
      <c r="B8" s="188"/>
      <c r="C8" s="64"/>
      <c r="D8" s="64"/>
      <c r="E8" s="65" t="s">
        <v>49</v>
      </c>
      <c r="F8" s="66" t="s">
        <v>28</v>
      </c>
      <c r="G8" s="65" t="s">
        <v>58</v>
      </c>
      <c r="H8" s="68"/>
      <c r="I8" s="68"/>
      <c r="J8" s="64"/>
      <c r="K8" s="64"/>
      <c r="L8" s="65" t="s">
        <v>49</v>
      </c>
      <c r="M8" s="66" t="s">
        <v>28</v>
      </c>
      <c r="N8" s="65" t="s">
        <v>58</v>
      </c>
      <c r="O8" s="68"/>
      <c r="P8" s="68"/>
      <c r="Q8" s="64"/>
      <c r="R8" s="64"/>
      <c r="S8" s="65" t="s">
        <v>49</v>
      </c>
      <c r="T8" s="66" t="s">
        <v>28</v>
      </c>
      <c r="U8" s="65" t="s">
        <v>58</v>
      </c>
      <c r="V8" s="68"/>
    </row>
    <row r="9" spans="1:22" ht="12">
      <c r="A9" s="189" t="s">
        <v>104</v>
      </c>
      <c r="B9" s="189"/>
      <c r="C9" s="167">
        <f>C10+C11+C12</f>
        <v>43</v>
      </c>
      <c r="D9" s="167">
        <f>D10+D11+D12</f>
        <v>1052</v>
      </c>
      <c r="E9" s="168">
        <f>E10+E11+E12</f>
        <v>519</v>
      </c>
      <c r="F9" s="168">
        <f>F10+F11+F12</f>
        <v>40</v>
      </c>
      <c r="G9" s="168">
        <f>G10+G11+G12</f>
        <v>387</v>
      </c>
      <c r="H9" s="73">
        <f>D9/C9</f>
        <v>24.46511627906977</v>
      </c>
      <c r="J9" s="75">
        <f>J10+J11+J12</f>
        <v>6</v>
      </c>
      <c r="K9" s="75">
        <f>K10+K11+K12</f>
        <v>137</v>
      </c>
      <c r="L9" s="80">
        <f>L10+L11+L12</f>
        <v>74</v>
      </c>
      <c r="M9" s="80">
        <f>M10+M11+M12</f>
        <v>1</v>
      </c>
      <c r="N9" s="80">
        <f>N10+N11+N12</f>
        <v>68</v>
      </c>
      <c r="O9" s="74">
        <f>K9/J9</f>
        <v>22.833333333333332</v>
      </c>
      <c r="Q9" s="75">
        <f>J9+C9</f>
        <v>49</v>
      </c>
      <c r="R9" s="190">
        <f aca="true" t="shared" si="0" ref="Q9:U35">K9+D9</f>
        <v>1189</v>
      </c>
      <c r="S9" s="80">
        <f t="shared" si="0"/>
        <v>593</v>
      </c>
      <c r="T9" s="164">
        <f t="shared" si="0"/>
        <v>41</v>
      </c>
      <c r="U9" s="164">
        <f>N9+G9</f>
        <v>455</v>
      </c>
      <c r="V9" s="74">
        <f>R9/Q9</f>
        <v>24.26530612244898</v>
      </c>
    </row>
    <row r="10" spans="1:22" ht="12">
      <c r="A10" s="144"/>
      <c r="B10" s="144" t="s">
        <v>105</v>
      </c>
      <c r="C10" s="198">
        <v>12</v>
      </c>
      <c r="D10" s="198">
        <v>298</v>
      </c>
      <c r="E10" s="199">
        <v>172</v>
      </c>
      <c r="F10" s="199">
        <v>11</v>
      </c>
      <c r="G10" s="199">
        <v>91</v>
      </c>
      <c r="H10" s="200">
        <f>D10/C10</f>
        <v>24.833333333333332</v>
      </c>
      <c r="J10" s="123">
        <v>4</v>
      </c>
      <c r="K10" s="123">
        <v>90</v>
      </c>
      <c r="L10" s="153">
        <v>51</v>
      </c>
      <c r="M10" s="153">
        <v>1</v>
      </c>
      <c r="N10" s="153">
        <v>46</v>
      </c>
      <c r="O10" s="79">
        <f>K10/J10</f>
        <v>22.5</v>
      </c>
      <c r="Q10" s="123">
        <f t="shared" si="0"/>
        <v>16</v>
      </c>
      <c r="R10" s="123">
        <f t="shared" si="0"/>
        <v>388</v>
      </c>
      <c r="S10" s="153">
        <f t="shared" si="0"/>
        <v>223</v>
      </c>
      <c r="T10" s="153">
        <f t="shared" si="0"/>
        <v>12</v>
      </c>
      <c r="U10" s="153">
        <f t="shared" si="0"/>
        <v>137</v>
      </c>
      <c r="V10" s="79">
        <f>R10/Q10</f>
        <v>24.25</v>
      </c>
    </row>
    <row r="11" spans="1:22" ht="12">
      <c r="A11" s="144"/>
      <c r="B11" s="144" t="s">
        <v>106</v>
      </c>
      <c r="C11" s="198">
        <v>21</v>
      </c>
      <c r="D11" s="198">
        <v>513</v>
      </c>
      <c r="E11" s="199">
        <v>234</v>
      </c>
      <c r="F11" s="199">
        <v>23</v>
      </c>
      <c r="G11" s="199">
        <v>194</v>
      </c>
      <c r="H11" s="200">
        <f aca="true" t="shared" si="1" ref="H11:H35">D11/C11</f>
        <v>24.428571428571427</v>
      </c>
      <c r="J11" s="123"/>
      <c r="K11" s="123"/>
      <c r="L11" s="153"/>
      <c r="M11" s="153"/>
      <c r="N11" s="153"/>
      <c r="O11" s="79"/>
      <c r="Q11" s="123">
        <f t="shared" si="0"/>
        <v>21</v>
      </c>
      <c r="R11" s="123">
        <f t="shared" si="0"/>
        <v>513</v>
      </c>
      <c r="S11" s="153">
        <f t="shared" si="0"/>
        <v>234</v>
      </c>
      <c r="T11" s="153">
        <f t="shared" si="0"/>
        <v>23</v>
      </c>
      <c r="U11" s="153">
        <f t="shared" si="0"/>
        <v>194</v>
      </c>
      <c r="V11" s="79">
        <f aca="true" t="shared" si="2" ref="V11:V34">R11/Q11</f>
        <v>24.428571428571427</v>
      </c>
    </row>
    <row r="12" spans="1:22" ht="12">
      <c r="A12" s="144"/>
      <c r="B12" s="144" t="s">
        <v>107</v>
      </c>
      <c r="C12" s="198">
        <v>10</v>
      </c>
      <c r="D12" s="198">
        <v>241</v>
      </c>
      <c r="E12" s="199">
        <v>113</v>
      </c>
      <c r="F12" s="199">
        <v>6</v>
      </c>
      <c r="G12" s="199">
        <v>102</v>
      </c>
      <c r="H12" s="200">
        <f t="shared" si="1"/>
        <v>24.1</v>
      </c>
      <c r="J12" s="123">
        <v>2</v>
      </c>
      <c r="K12" s="123">
        <v>47</v>
      </c>
      <c r="L12" s="153">
        <v>23</v>
      </c>
      <c r="M12" s="153"/>
      <c r="N12" s="153">
        <v>22</v>
      </c>
      <c r="O12" s="79">
        <f aca="true" t="shared" si="3" ref="O12:O35">K12/J12</f>
        <v>23.5</v>
      </c>
      <c r="Q12" s="123">
        <f t="shared" si="0"/>
        <v>12</v>
      </c>
      <c r="R12" s="123">
        <f t="shared" si="0"/>
        <v>288</v>
      </c>
      <c r="S12" s="153">
        <f t="shared" si="0"/>
        <v>136</v>
      </c>
      <c r="T12" s="153">
        <f t="shared" si="0"/>
        <v>6</v>
      </c>
      <c r="U12" s="153">
        <f t="shared" si="0"/>
        <v>124</v>
      </c>
      <c r="V12" s="79">
        <f t="shared" si="2"/>
        <v>24</v>
      </c>
    </row>
    <row r="13" spans="1:22" ht="12">
      <c r="A13" s="191" t="s">
        <v>10</v>
      </c>
      <c r="B13" s="191"/>
      <c r="C13" s="167">
        <f>C14+C15+C16</f>
        <v>34</v>
      </c>
      <c r="D13" s="167">
        <f>D14+D15+D16</f>
        <v>843</v>
      </c>
      <c r="E13" s="168">
        <f>E14+E15+E16</f>
        <v>446</v>
      </c>
      <c r="F13" s="168">
        <f>F14+F15+F16</f>
        <v>45</v>
      </c>
      <c r="G13" s="168">
        <f>G14+G15+G16</f>
        <v>376</v>
      </c>
      <c r="H13" s="73">
        <f t="shared" si="1"/>
        <v>24.794117647058822</v>
      </c>
      <c r="J13" s="75">
        <f>J14+J15+J16</f>
        <v>18</v>
      </c>
      <c r="K13" s="75">
        <f>K14+K15+K16</f>
        <v>396</v>
      </c>
      <c r="L13" s="80">
        <f>L14+L15+L16</f>
        <v>197</v>
      </c>
      <c r="M13" s="80">
        <f>M14+M15+M16</f>
        <v>8</v>
      </c>
      <c r="N13" s="80">
        <f>N14+N15+N16</f>
        <v>260</v>
      </c>
      <c r="O13" s="74">
        <f t="shared" si="3"/>
        <v>22</v>
      </c>
      <c r="Q13" s="75">
        <f t="shared" si="0"/>
        <v>52</v>
      </c>
      <c r="R13" s="75">
        <f t="shared" si="0"/>
        <v>1239</v>
      </c>
      <c r="S13" s="80">
        <f t="shared" si="0"/>
        <v>643</v>
      </c>
      <c r="T13" s="80">
        <f t="shared" si="0"/>
        <v>53</v>
      </c>
      <c r="U13" s="80">
        <f t="shared" si="0"/>
        <v>636</v>
      </c>
      <c r="V13" s="74">
        <f t="shared" si="2"/>
        <v>23.826923076923077</v>
      </c>
    </row>
    <row r="14" spans="1:22" ht="12">
      <c r="A14" s="192"/>
      <c r="B14" s="144" t="s">
        <v>108</v>
      </c>
      <c r="C14" s="198">
        <v>17</v>
      </c>
      <c r="D14" s="198">
        <v>419</v>
      </c>
      <c r="E14" s="199">
        <v>248</v>
      </c>
      <c r="F14" s="199">
        <v>25</v>
      </c>
      <c r="G14" s="199">
        <v>196</v>
      </c>
      <c r="H14" s="200">
        <f t="shared" si="1"/>
        <v>24.647058823529413</v>
      </c>
      <c r="J14" s="123">
        <v>10</v>
      </c>
      <c r="K14" s="123">
        <v>226</v>
      </c>
      <c r="L14" s="153">
        <v>100</v>
      </c>
      <c r="M14" s="153">
        <v>4</v>
      </c>
      <c r="N14" s="153">
        <v>159</v>
      </c>
      <c r="O14" s="79">
        <f t="shared" si="3"/>
        <v>22.6</v>
      </c>
      <c r="Q14" s="123">
        <f t="shared" si="0"/>
        <v>27</v>
      </c>
      <c r="R14" s="123">
        <f t="shared" si="0"/>
        <v>645</v>
      </c>
      <c r="S14" s="153">
        <f t="shared" si="0"/>
        <v>348</v>
      </c>
      <c r="T14" s="153">
        <f t="shared" si="0"/>
        <v>29</v>
      </c>
      <c r="U14" s="153">
        <f t="shared" si="0"/>
        <v>355</v>
      </c>
      <c r="V14" s="79">
        <f t="shared" si="2"/>
        <v>23.88888888888889</v>
      </c>
    </row>
    <row r="15" spans="1:22" ht="12">
      <c r="A15" s="193"/>
      <c r="B15" s="144" t="s">
        <v>109</v>
      </c>
      <c r="C15" s="198">
        <v>10</v>
      </c>
      <c r="D15" s="198">
        <v>258</v>
      </c>
      <c r="E15" s="199">
        <v>118</v>
      </c>
      <c r="F15" s="199">
        <v>9</v>
      </c>
      <c r="G15" s="199">
        <v>112</v>
      </c>
      <c r="H15" s="200">
        <f t="shared" si="1"/>
        <v>25.8</v>
      </c>
      <c r="J15" s="123">
        <v>4</v>
      </c>
      <c r="K15" s="123">
        <v>96</v>
      </c>
      <c r="L15" s="153">
        <v>58</v>
      </c>
      <c r="M15" s="153">
        <v>2</v>
      </c>
      <c r="N15" s="153">
        <v>50</v>
      </c>
      <c r="O15" s="79">
        <f t="shared" si="3"/>
        <v>24</v>
      </c>
      <c r="Q15" s="123">
        <f t="shared" si="0"/>
        <v>14</v>
      </c>
      <c r="R15" s="123">
        <f t="shared" si="0"/>
        <v>354</v>
      </c>
      <c r="S15" s="153">
        <f t="shared" si="0"/>
        <v>176</v>
      </c>
      <c r="T15" s="153">
        <f t="shared" si="0"/>
        <v>11</v>
      </c>
      <c r="U15" s="153">
        <f t="shared" si="0"/>
        <v>162</v>
      </c>
      <c r="V15" s="79">
        <f t="shared" si="2"/>
        <v>25.285714285714285</v>
      </c>
    </row>
    <row r="16" spans="1:22" ht="12">
      <c r="A16" s="193"/>
      <c r="B16" s="144" t="s">
        <v>110</v>
      </c>
      <c r="C16" s="198">
        <v>7</v>
      </c>
      <c r="D16" s="198">
        <v>166</v>
      </c>
      <c r="E16" s="199">
        <v>80</v>
      </c>
      <c r="F16" s="199">
        <v>11</v>
      </c>
      <c r="G16" s="199">
        <v>68</v>
      </c>
      <c r="H16" s="200">
        <f t="shared" si="1"/>
        <v>23.714285714285715</v>
      </c>
      <c r="J16" s="123">
        <v>4</v>
      </c>
      <c r="K16" s="123">
        <v>74</v>
      </c>
      <c r="L16" s="153">
        <v>39</v>
      </c>
      <c r="M16" s="153">
        <v>2</v>
      </c>
      <c r="N16" s="153">
        <v>51</v>
      </c>
      <c r="O16" s="79">
        <f t="shared" si="3"/>
        <v>18.5</v>
      </c>
      <c r="Q16" s="123">
        <f t="shared" si="0"/>
        <v>11</v>
      </c>
      <c r="R16" s="123">
        <f t="shared" si="0"/>
        <v>240</v>
      </c>
      <c r="S16" s="153">
        <f t="shared" si="0"/>
        <v>119</v>
      </c>
      <c r="T16" s="153">
        <f t="shared" si="0"/>
        <v>13</v>
      </c>
      <c r="U16" s="153">
        <f t="shared" si="0"/>
        <v>119</v>
      </c>
      <c r="V16" s="79">
        <f t="shared" si="2"/>
        <v>21.818181818181817</v>
      </c>
    </row>
    <row r="17" spans="1:22" ht="12">
      <c r="A17" s="191" t="s">
        <v>111</v>
      </c>
      <c r="B17" s="191"/>
      <c r="C17" s="167">
        <f>C18+C19+C20+C21</f>
        <v>44</v>
      </c>
      <c r="D17" s="167">
        <f>D18+D19+D20+D21</f>
        <v>1014</v>
      </c>
      <c r="E17" s="168">
        <f>E18+E19+E20+E21</f>
        <v>505</v>
      </c>
      <c r="F17" s="168">
        <f>F18+F19+F20+F21</f>
        <v>23</v>
      </c>
      <c r="G17" s="168">
        <f>G18+G19+G20+G21</f>
        <v>218</v>
      </c>
      <c r="H17" s="73">
        <f t="shared" si="1"/>
        <v>23.045454545454547</v>
      </c>
      <c r="J17" s="75">
        <f>J18+J19+J20+J21</f>
        <v>8</v>
      </c>
      <c r="K17" s="75">
        <f>K18+K19+K20+K21</f>
        <v>175</v>
      </c>
      <c r="L17" s="80">
        <f>L18+L19+L20+L21</f>
        <v>80</v>
      </c>
      <c r="M17" s="80">
        <f>M18+M19+M20+M21</f>
        <v>5</v>
      </c>
      <c r="N17" s="80">
        <f>N18+N19+N20+N21</f>
        <v>69</v>
      </c>
      <c r="O17" s="74">
        <f t="shared" si="3"/>
        <v>21.875</v>
      </c>
      <c r="Q17" s="75">
        <f t="shared" si="0"/>
        <v>52</v>
      </c>
      <c r="R17" s="75">
        <f t="shared" si="0"/>
        <v>1189</v>
      </c>
      <c r="S17" s="80">
        <f t="shared" si="0"/>
        <v>585</v>
      </c>
      <c r="T17" s="80">
        <f t="shared" si="0"/>
        <v>28</v>
      </c>
      <c r="U17" s="80">
        <f t="shared" si="0"/>
        <v>287</v>
      </c>
      <c r="V17" s="74">
        <f t="shared" si="2"/>
        <v>22.865384615384617</v>
      </c>
    </row>
    <row r="18" spans="1:22" ht="12">
      <c r="A18" s="193"/>
      <c r="B18" s="144" t="s">
        <v>112</v>
      </c>
      <c r="C18" s="198">
        <v>19</v>
      </c>
      <c r="D18" s="198">
        <v>445</v>
      </c>
      <c r="E18" s="199">
        <v>223</v>
      </c>
      <c r="F18" s="199">
        <v>12</v>
      </c>
      <c r="G18" s="199">
        <v>82</v>
      </c>
      <c r="H18" s="200">
        <f t="shared" si="1"/>
        <v>23.42105263157895</v>
      </c>
      <c r="J18" s="123"/>
      <c r="K18" s="123"/>
      <c r="L18" s="153"/>
      <c r="M18" s="153"/>
      <c r="N18" s="153"/>
      <c r="O18" s="79"/>
      <c r="Q18" s="123">
        <f t="shared" si="0"/>
        <v>19</v>
      </c>
      <c r="R18" s="123">
        <f t="shared" si="0"/>
        <v>445</v>
      </c>
      <c r="S18" s="153">
        <f t="shared" si="0"/>
        <v>223</v>
      </c>
      <c r="T18" s="153">
        <f t="shared" si="0"/>
        <v>12</v>
      </c>
      <c r="U18" s="153">
        <f t="shared" si="0"/>
        <v>82</v>
      </c>
      <c r="V18" s="79">
        <f t="shared" si="2"/>
        <v>23.42105263157895</v>
      </c>
    </row>
    <row r="19" spans="1:22" ht="12">
      <c r="A19" s="193"/>
      <c r="B19" s="144" t="s">
        <v>113</v>
      </c>
      <c r="C19" s="198">
        <v>7</v>
      </c>
      <c r="D19" s="198">
        <v>163</v>
      </c>
      <c r="E19" s="199">
        <v>75</v>
      </c>
      <c r="F19" s="199">
        <v>4</v>
      </c>
      <c r="G19" s="199">
        <v>28</v>
      </c>
      <c r="H19" s="200">
        <f t="shared" si="1"/>
        <v>23.285714285714285</v>
      </c>
      <c r="J19" s="123">
        <v>2</v>
      </c>
      <c r="K19" s="123">
        <v>44</v>
      </c>
      <c r="L19" s="153">
        <v>16</v>
      </c>
      <c r="M19" s="153">
        <v>1</v>
      </c>
      <c r="N19" s="153">
        <v>20</v>
      </c>
      <c r="O19" s="79">
        <f t="shared" si="3"/>
        <v>22</v>
      </c>
      <c r="Q19" s="123">
        <f t="shared" si="0"/>
        <v>9</v>
      </c>
      <c r="R19" s="123">
        <f t="shared" si="0"/>
        <v>207</v>
      </c>
      <c r="S19" s="153">
        <f t="shared" si="0"/>
        <v>91</v>
      </c>
      <c r="T19" s="153">
        <f t="shared" si="0"/>
        <v>5</v>
      </c>
      <c r="U19" s="153">
        <f t="shared" si="0"/>
        <v>48</v>
      </c>
      <c r="V19" s="79">
        <f t="shared" si="2"/>
        <v>23</v>
      </c>
    </row>
    <row r="20" spans="1:22" ht="12">
      <c r="A20" s="192"/>
      <c r="B20" s="144" t="s">
        <v>114</v>
      </c>
      <c r="C20" s="198">
        <v>2</v>
      </c>
      <c r="D20" s="198">
        <v>48</v>
      </c>
      <c r="E20" s="199">
        <v>23</v>
      </c>
      <c r="F20" s="199">
        <v>2</v>
      </c>
      <c r="G20" s="199">
        <v>8</v>
      </c>
      <c r="H20" s="200">
        <f t="shared" si="1"/>
        <v>24</v>
      </c>
      <c r="J20" s="123">
        <v>6</v>
      </c>
      <c r="K20" s="123">
        <v>131</v>
      </c>
      <c r="L20" s="153">
        <v>64</v>
      </c>
      <c r="M20" s="153">
        <v>4</v>
      </c>
      <c r="N20" s="153">
        <v>49</v>
      </c>
      <c r="O20" s="79">
        <f t="shared" si="3"/>
        <v>21.833333333333332</v>
      </c>
      <c r="Q20" s="123">
        <f t="shared" si="0"/>
        <v>8</v>
      </c>
      <c r="R20" s="123">
        <f t="shared" si="0"/>
        <v>179</v>
      </c>
      <c r="S20" s="153">
        <f t="shared" si="0"/>
        <v>87</v>
      </c>
      <c r="T20" s="153">
        <f t="shared" si="0"/>
        <v>6</v>
      </c>
      <c r="U20" s="153">
        <f t="shared" si="0"/>
        <v>57</v>
      </c>
      <c r="V20" s="79">
        <f t="shared" si="2"/>
        <v>22.375</v>
      </c>
    </row>
    <row r="21" spans="1:22" ht="12">
      <c r="A21" s="192"/>
      <c r="B21" s="144" t="s">
        <v>115</v>
      </c>
      <c r="C21" s="198">
        <v>16</v>
      </c>
      <c r="D21" s="198">
        <v>358</v>
      </c>
      <c r="E21" s="199">
        <v>184</v>
      </c>
      <c r="F21" s="199">
        <v>5</v>
      </c>
      <c r="G21" s="199">
        <v>100</v>
      </c>
      <c r="H21" s="200">
        <f t="shared" si="1"/>
        <v>22.375</v>
      </c>
      <c r="J21" s="123"/>
      <c r="K21" s="123"/>
      <c r="L21" s="153"/>
      <c r="M21" s="153"/>
      <c r="N21" s="153"/>
      <c r="O21" s="79"/>
      <c r="Q21" s="123">
        <f t="shared" si="0"/>
        <v>16</v>
      </c>
      <c r="R21" s="123">
        <f t="shared" si="0"/>
        <v>358</v>
      </c>
      <c r="S21" s="153">
        <f t="shared" si="0"/>
        <v>184</v>
      </c>
      <c r="T21" s="153">
        <f t="shared" si="0"/>
        <v>5</v>
      </c>
      <c r="U21" s="153">
        <f t="shared" si="0"/>
        <v>100</v>
      </c>
      <c r="V21" s="79">
        <f t="shared" si="2"/>
        <v>22.375</v>
      </c>
    </row>
    <row r="22" spans="1:22" ht="12">
      <c r="A22" s="189" t="s">
        <v>116</v>
      </c>
      <c r="B22" s="189"/>
      <c r="C22" s="167">
        <f>C23+C24</f>
        <v>27</v>
      </c>
      <c r="D22" s="167">
        <f>D23+D24</f>
        <v>655</v>
      </c>
      <c r="E22" s="168">
        <f>E23+E24</f>
        <v>324</v>
      </c>
      <c r="F22" s="168">
        <f>F23+F24</f>
        <v>30</v>
      </c>
      <c r="G22" s="168">
        <f>G23+G24</f>
        <v>195</v>
      </c>
      <c r="H22" s="73">
        <f t="shared" si="1"/>
        <v>24.25925925925926</v>
      </c>
      <c r="J22" s="75">
        <f>J23+J24</f>
        <v>26</v>
      </c>
      <c r="K22" s="75">
        <f>K23+K24</f>
        <v>548</v>
      </c>
      <c r="L22" s="80">
        <f>L23+L24</f>
        <v>246</v>
      </c>
      <c r="M22" s="80">
        <f>M23+M24</f>
        <v>18</v>
      </c>
      <c r="N22" s="80">
        <f>N23+N24</f>
        <v>300</v>
      </c>
      <c r="O22" s="74">
        <f t="shared" si="3"/>
        <v>21.076923076923077</v>
      </c>
      <c r="Q22" s="75">
        <f t="shared" si="0"/>
        <v>53</v>
      </c>
      <c r="R22" s="75">
        <f t="shared" si="0"/>
        <v>1203</v>
      </c>
      <c r="S22" s="80">
        <f t="shared" si="0"/>
        <v>570</v>
      </c>
      <c r="T22" s="80">
        <f t="shared" si="0"/>
        <v>48</v>
      </c>
      <c r="U22" s="80">
        <f t="shared" si="0"/>
        <v>495</v>
      </c>
      <c r="V22" s="74">
        <f t="shared" si="2"/>
        <v>22.69811320754717</v>
      </c>
    </row>
    <row r="23" spans="1:22" ht="12">
      <c r="A23" s="193"/>
      <c r="B23" s="144" t="s">
        <v>117</v>
      </c>
      <c r="C23" s="198">
        <v>16</v>
      </c>
      <c r="D23" s="198">
        <v>386</v>
      </c>
      <c r="E23" s="199">
        <v>194</v>
      </c>
      <c r="F23" s="199">
        <v>18</v>
      </c>
      <c r="G23" s="199">
        <v>139</v>
      </c>
      <c r="H23" s="200">
        <f t="shared" si="1"/>
        <v>24.125</v>
      </c>
      <c r="J23" s="123">
        <v>12</v>
      </c>
      <c r="K23" s="123">
        <v>258</v>
      </c>
      <c r="L23" s="153">
        <v>121</v>
      </c>
      <c r="M23" s="153">
        <v>8</v>
      </c>
      <c r="N23" s="153">
        <v>143</v>
      </c>
      <c r="O23" s="79">
        <f t="shared" si="3"/>
        <v>21.5</v>
      </c>
      <c r="Q23" s="123">
        <f t="shared" si="0"/>
        <v>28</v>
      </c>
      <c r="R23" s="123">
        <f t="shared" si="0"/>
        <v>644</v>
      </c>
      <c r="S23" s="153">
        <f t="shared" si="0"/>
        <v>315</v>
      </c>
      <c r="T23" s="153">
        <f t="shared" si="0"/>
        <v>26</v>
      </c>
      <c r="U23" s="153">
        <f t="shared" si="0"/>
        <v>282</v>
      </c>
      <c r="V23" s="79">
        <f t="shared" si="2"/>
        <v>23</v>
      </c>
    </row>
    <row r="24" spans="1:22" ht="12">
      <c r="A24" s="193"/>
      <c r="B24" s="144" t="s">
        <v>118</v>
      </c>
      <c r="C24" s="198">
        <v>11</v>
      </c>
      <c r="D24" s="198">
        <v>269</v>
      </c>
      <c r="E24" s="199">
        <v>130</v>
      </c>
      <c r="F24" s="199">
        <v>12</v>
      </c>
      <c r="G24" s="199">
        <v>56</v>
      </c>
      <c r="H24" s="200">
        <f t="shared" si="1"/>
        <v>24.454545454545453</v>
      </c>
      <c r="J24" s="123">
        <v>14</v>
      </c>
      <c r="K24" s="123">
        <v>290</v>
      </c>
      <c r="L24" s="153">
        <v>125</v>
      </c>
      <c r="M24" s="153">
        <v>10</v>
      </c>
      <c r="N24" s="153">
        <v>157</v>
      </c>
      <c r="O24" s="79">
        <f t="shared" si="3"/>
        <v>20.714285714285715</v>
      </c>
      <c r="Q24" s="123">
        <f t="shared" si="0"/>
        <v>25</v>
      </c>
      <c r="R24" s="123">
        <f t="shared" si="0"/>
        <v>559</v>
      </c>
      <c r="S24" s="153">
        <f t="shared" si="0"/>
        <v>255</v>
      </c>
      <c r="T24" s="153">
        <f t="shared" si="0"/>
        <v>22</v>
      </c>
      <c r="U24" s="153">
        <f t="shared" si="0"/>
        <v>213</v>
      </c>
      <c r="V24" s="79">
        <f t="shared" si="2"/>
        <v>22.36</v>
      </c>
    </row>
    <row r="25" spans="1:22" ht="12">
      <c r="A25" s="191" t="s">
        <v>37</v>
      </c>
      <c r="B25" s="191"/>
      <c r="C25" s="167">
        <f>C26+C27+C28+C29</f>
        <v>40</v>
      </c>
      <c r="D25" s="167">
        <f>D26+D27+D28+D29</f>
        <v>925</v>
      </c>
      <c r="E25" s="168">
        <f>E26+E27+E28+E29</f>
        <v>447</v>
      </c>
      <c r="F25" s="168">
        <f>F26+F27+F28+F29</f>
        <v>39</v>
      </c>
      <c r="G25" s="168">
        <f>G26+G27+G28+G29</f>
        <v>128</v>
      </c>
      <c r="H25" s="73">
        <f t="shared" si="1"/>
        <v>23.125</v>
      </c>
      <c r="J25" s="75">
        <f>J26+J27+J28+J29</f>
        <v>5</v>
      </c>
      <c r="K25" s="75">
        <f>K26+K27+K28+K29</f>
        <v>124</v>
      </c>
      <c r="L25" s="80">
        <f>L26+L27+L28+L29</f>
        <v>63</v>
      </c>
      <c r="M25" s="80">
        <f>M26+M27+M28+M29</f>
        <v>1</v>
      </c>
      <c r="N25" s="80">
        <f>N26+N27+N28+N29</f>
        <v>19</v>
      </c>
      <c r="O25" s="74">
        <f t="shared" si="3"/>
        <v>24.8</v>
      </c>
      <c r="Q25" s="75">
        <f t="shared" si="0"/>
        <v>45</v>
      </c>
      <c r="R25" s="75">
        <f t="shared" si="0"/>
        <v>1049</v>
      </c>
      <c r="S25" s="80">
        <f t="shared" si="0"/>
        <v>510</v>
      </c>
      <c r="T25" s="80">
        <f t="shared" si="0"/>
        <v>40</v>
      </c>
      <c r="U25" s="80">
        <f t="shared" si="0"/>
        <v>147</v>
      </c>
      <c r="V25" s="74">
        <f t="shared" si="2"/>
        <v>23.31111111111111</v>
      </c>
    </row>
    <row r="26" spans="1:22" ht="12">
      <c r="A26" s="193"/>
      <c r="B26" s="144" t="s">
        <v>119</v>
      </c>
      <c r="C26" s="198">
        <v>6</v>
      </c>
      <c r="D26" s="198">
        <v>126</v>
      </c>
      <c r="E26" s="199">
        <v>62</v>
      </c>
      <c r="F26" s="199">
        <v>4</v>
      </c>
      <c r="G26" s="199">
        <v>6</v>
      </c>
      <c r="H26" s="200">
        <f t="shared" si="1"/>
        <v>21</v>
      </c>
      <c r="J26" s="123"/>
      <c r="K26" s="123"/>
      <c r="L26" s="153"/>
      <c r="M26" s="153"/>
      <c r="N26" s="153"/>
      <c r="O26" s="79"/>
      <c r="Q26" s="123">
        <f t="shared" si="0"/>
        <v>6</v>
      </c>
      <c r="R26" s="123">
        <f t="shared" si="0"/>
        <v>126</v>
      </c>
      <c r="S26" s="153">
        <f t="shared" si="0"/>
        <v>62</v>
      </c>
      <c r="T26" s="153">
        <f t="shared" si="0"/>
        <v>4</v>
      </c>
      <c r="U26" s="153">
        <f t="shared" si="0"/>
        <v>6</v>
      </c>
      <c r="V26" s="79">
        <f t="shared" si="2"/>
        <v>21</v>
      </c>
    </row>
    <row r="27" spans="1:22" ht="12">
      <c r="A27" s="193"/>
      <c r="B27" s="144" t="s">
        <v>120</v>
      </c>
      <c r="C27" s="198">
        <v>9</v>
      </c>
      <c r="D27" s="198">
        <v>211</v>
      </c>
      <c r="E27" s="199">
        <v>106</v>
      </c>
      <c r="F27" s="199">
        <v>7</v>
      </c>
      <c r="G27" s="199">
        <v>20</v>
      </c>
      <c r="H27" s="200">
        <f t="shared" si="1"/>
        <v>23.444444444444443</v>
      </c>
      <c r="J27" s="123"/>
      <c r="K27" s="123"/>
      <c r="L27" s="153"/>
      <c r="M27" s="153"/>
      <c r="N27" s="153"/>
      <c r="O27" s="79"/>
      <c r="Q27" s="123">
        <f t="shared" si="0"/>
        <v>9</v>
      </c>
      <c r="R27" s="123">
        <f t="shared" si="0"/>
        <v>211</v>
      </c>
      <c r="S27" s="153">
        <f t="shared" si="0"/>
        <v>106</v>
      </c>
      <c r="T27" s="153">
        <f t="shared" si="0"/>
        <v>7</v>
      </c>
      <c r="U27" s="153">
        <f t="shared" si="0"/>
        <v>20</v>
      </c>
      <c r="V27" s="79">
        <f t="shared" si="2"/>
        <v>23.444444444444443</v>
      </c>
    </row>
    <row r="28" spans="1:22" ht="12">
      <c r="A28" s="192"/>
      <c r="B28" s="144" t="s">
        <v>121</v>
      </c>
      <c r="C28" s="198">
        <v>9</v>
      </c>
      <c r="D28" s="198">
        <v>218</v>
      </c>
      <c r="E28" s="199">
        <v>109</v>
      </c>
      <c r="F28" s="199">
        <v>14</v>
      </c>
      <c r="G28" s="199">
        <v>44</v>
      </c>
      <c r="H28" s="200">
        <f t="shared" si="1"/>
        <v>24.22222222222222</v>
      </c>
      <c r="J28" s="123"/>
      <c r="K28" s="123"/>
      <c r="L28" s="153"/>
      <c r="M28" s="153"/>
      <c r="N28" s="153"/>
      <c r="O28" s="79"/>
      <c r="Q28" s="123">
        <f t="shared" si="0"/>
        <v>9</v>
      </c>
      <c r="R28" s="123">
        <f t="shared" si="0"/>
        <v>218</v>
      </c>
      <c r="S28" s="153">
        <f t="shared" si="0"/>
        <v>109</v>
      </c>
      <c r="T28" s="153">
        <f t="shared" si="0"/>
        <v>14</v>
      </c>
      <c r="U28" s="153">
        <f t="shared" si="0"/>
        <v>44</v>
      </c>
      <c r="V28" s="79">
        <f t="shared" si="2"/>
        <v>24.22222222222222</v>
      </c>
    </row>
    <row r="29" spans="1:22" ht="12">
      <c r="A29" s="193"/>
      <c r="B29" s="144" t="s">
        <v>122</v>
      </c>
      <c r="C29" s="198">
        <v>16</v>
      </c>
      <c r="D29" s="198">
        <v>370</v>
      </c>
      <c r="E29" s="199">
        <v>170</v>
      </c>
      <c r="F29" s="199">
        <v>14</v>
      </c>
      <c r="G29" s="199">
        <v>58</v>
      </c>
      <c r="H29" s="200">
        <f t="shared" si="1"/>
        <v>23.125</v>
      </c>
      <c r="J29" s="123">
        <v>5</v>
      </c>
      <c r="K29" s="123">
        <v>124</v>
      </c>
      <c r="L29" s="153">
        <v>63</v>
      </c>
      <c r="M29" s="153">
        <v>1</v>
      </c>
      <c r="N29" s="153">
        <v>19</v>
      </c>
      <c r="O29" s="79">
        <f t="shared" si="3"/>
        <v>24.8</v>
      </c>
      <c r="Q29" s="123">
        <f t="shared" si="0"/>
        <v>21</v>
      </c>
      <c r="R29" s="123">
        <f t="shared" si="0"/>
        <v>494</v>
      </c>
      <c r="S29" s="153">
        <f t="shared" si="0"/>
        <v>233</v>
      </c>
      <c r="T29" s="153">
        <f t="shared" si="0"/>
        <v>15</v>
      </c>
      <c r="U29" s="153">
        <f t="shared" si="0"/>
        <v>77</v>
      </c>
      <c r="V29" s="79">
        <f t="shared" si="2"/>
        <v>23.523809523809526</v>
      </c>
    </row>
    <row r="30" spans="1:22" ht="12">
      <c r="A30" s="191" t="s">
        <v>17</v>
      </c>
      <c r="B30" s="191"/>
      <c r="C30" s="75">
        <f>C31+C32</f>
        <v>27</v>
      </c>
      <c r="D30" s="75">
        <f>D31+D32</f>
        <v>668</v>
      </c>
      <c r="E30" s="80">
        <f>E31+E32</f>
        <v>296</v>
      </c>
      <c r="F30" s="80">
        <f>F31+F32</f>
        <v>25</v>
      </c>
      <c r="G30" s="80">
        <f>G31+G32</f>
        <v>160</v>
      </c>
      <c r="H30" s="74">
        <f t="shared" si="1"/>
        <v>24.74074074074074</v>
      </c>
      <c r="J30" s="75">
        <f>J31+J32</f>
        <v>17</v>
      </c>
      <c r="K30" s="75">
        <f>K31+K32</f>
        <v>404</v>
      </c>
      <c r="L30" s="80">
        <f>L31+L32</f>
        <v>216</v>
      </c>
      <c r="M30" s="80">
        <f>M31+M32</f>
        <v>6</v>
      </c>
      <c r="N30" s="80">
        <f>N31+N32</f>
        <v>163</v>
      </c>
      <c r="O30" s="74">
        <f t="shared" si="3"/>
        <v>23.764705882352942</v>
      </c>
      <c r="Q30" s="75">
        <f t="shared" si="0"/>
        <v>44</v>
      </c>
      <c r="R30" s="75">
        <f t="shared" si="0"/>
        <v>1072</v>
      </c>
      <c r="S30" s="80">
        <f t="shared" si="0"/>
        <v>512</v>
      </c>
      <c r="T30" s="80">
        <f t="shared" si="0"/>
        <v>31</v>
      </c>
      <c r="U30" s="80">
        <f t="shared" si="0"/>
        <v>323</v>
      </c>
      <c r="V30" s="74">
        <f t="shared" si="2"/>
        <v>24.363636363636363</v>
      </c>
    </row>
    <row r="31" spans="1:22" ht="12">
      <c r="A31" s="192"/>
      <c r="B31" s="144" t="s">
        <v>123</v>
      </c>
      <c r="C31" s="123">
        <v>19</v>
      </c>
      <c r="D31" s="123">
        <v>467</v>
      </c>
      <c r="E31" s="153">
        <v>206</v>
      </c>
      <c r="F31" s="153">
        <v>15</v>
      </c>
      <c r="G31" s="153">
        <v>107</v>
      </c>
      <c r="H31" s="79">
        <f t="shared" si="1"/>
        <v>24.57894736842105</v>
      </c>
      <c r="J31" s="123">
        <v>11</v>
      </c>
      <c r="K31" s="123">
        <v>258</v>
      </c>
      <c r="L31" s="153">
        <v>136</v>
      </c>
      <c r="M31" s="153">
        <v>1</v>
      </c>
      <c r="N31" s="153">
        <v>105</v>
      </c>
      <c r="O31" s="79">
        <f t="shared" si="3"/>
        <v>23.454545454545453</v>
      </c>
      <c r="Q31" s="123">
        <f t="shared" si="0"/>
        <v>30</v>
      </c>
      <c r="R31" s="123">
        <f t="shared" si="0"/>
        <v>725</v>
      </c>
      <c r="S31" s="153">
        <f t="shared" si="0"/>
        <v>342</v>
      </c>
      <c r="T31" s="153">
        <f t="shared" si="0"/>
        <v>16</v>
      </c>
      <c r="U31" s="153">
        <f t="shared" si="0"/>
        <v>212</v>
      </c>
      <c r="V31" s="79">
        <f t="shared" si="2"/>
        <v>24.166666666666668</v>
      </c>
    </row>
    <row r="32" spans="1:22" ht="12">
      <c r="A32" s="193"/>
      <c r="B32" s="144" t="s">
        <v>124</v>
      </c>
      <c r="C32" s="123">
        <v>8</v>
      </c>
      <c r="D32" s="123">
        <v>201</v>
      </c>
      <c r="E32" s="153">
        <v>90</v>
      </c>
      <c r="F32" s="153">
        <v>10</v>
      </c>
      <c r="G32" s="153">
        <v>53</v>
      </c>
      <c r="H32" s="79">
        <f t="shared" si="1"/>
        <v>25.125</v>
      </c>
      <c r="J32" s="123">
        <v>6</v>
      </c>
      <c r="K32" s="123">
        <v>146</v>
      </c>
      <c r="L32" s="153">
        <v>80</v>
      </c>
      <c r="M32" s="153">
        <v>5</v>
      </c>
      <c r="N32" s="153">
        <v>58</v>
      </c>
      <c r="O32" s="79">
        <f t="shared" si="3"/>
        <v>24.333333333333332</v>
      </c>
      <c r="Q32" s="123">
        <f t="shared" si="0"/>
        <v>14</v>
      </c>
      <c r="R32" s="123">
        <f t="shared" si="0"/>
        <v>347</v>
      </c>
      <c r="S32" s="153">
        <f t="shared" si="0"/>
        <v>170</v>
      </c>
      <c r="T32" s="153">
        <f t="shared" si="0"/>
        <v>15</v>
      </c>
      <c r="U32" s="153">
        <f t="shared" si="0"/>
        <v>111</v>
      </c>
      <c r="V32" s="79">
        <f t="shared" si="2"/>
        <v>24.785714285714285</v>
      </c>
    </row>
    <row r="33" spans="1:22" ht="12">
      <c r="A33" s="194" t="s">
        <v>125</v>
      </c>
      <c r="B33" s="194"/>
      <c r="C33" s="80">
        <f>+C19+C28+C27+C20</f>
        <v>27</v>
      </c>
      <c r="D33" s="80">
        <f>+D19+D28+D27+D20</f>
        <v>640</v>
      </c>
      <c r="E33" s="80">
        <f>+E19+E28+E27+E20</f>
        <v>313</v>
      </c>
      <c r="F33" s="80">
        <f>+F19+F28+F27+F20</f>
        <v>27</v>
      </c>
      <c r="G33" s="80">
        <f>+G19+G28+G27+G20</f>
        <v>100</v>
      </c>
      <c r="H33" s="195">
        <f t="shared" si="1"/>
        <v>23.703703703703702</v>
      </c>
      <c r="J33" s="80">
        <f>+J19+J28+J27+J20</f>
        <v>8</v>
      </c>
      <c r="K33" s="80">
        <f>+K19+K28+K27+K20</f>
        <v>175</v>
      </c>
      <c r="L33" s="80">
        <f>+L19+L28+L27+L20</f>
        <v>80</v>
      </c>
      <c r="M33" s="80">
        <f>+M19+M28+M27+M20</f>
        <v>5</v>
      </c>
      <c r="N33" s="80">
        <f>+N19+N28+N27+N20</f>
        <v>69</v>
      </c>
      <c r="O33" s="195">
        <f t="shared" si="3"/>
        <v>21.875</v>
      </c>
      <c r="Q33" s="80">
        <f t="shared" si="0"/>
        <v>35</v>
      </c>
      <c r="R33" s="80">
        <f t="shared" si="0"/>
        <v>815</v>
      </c>
      <c r="S33" s="80">
        <f t="shared" si="0"/>
        <v>393</v>
      </c>
      <c r="T33" s="80">
        <f t="shared" si="0"/>
        <v>32</v>
      </c>
      <c r="U33" s="80">
        <f t="shared" si="0"/>
        <v>169</v>
      </c>
      <c r="V33" s="195">
        <f t="shared" si="2"/>
        <v>23.285714285714285</v>
      </c>
    </row>
    <row r="34" spans="1:22" ht="12">
      <c r="A34" s="194" t="s">
        <v>126</v>
      </c>
      <c r="B34" s="194"/>
      <c r="C34" s="80">
        <f>+C10+C11+C12+C14+C15+C16+C18+C21+C23+C24+C26+C29+C31+C32</f>
        <v>188</v>
      </c>
      <c r="D34" s="80">
        <f>+D10+D11+D12+D14+D15+D16+D18+D21+D23+D24+D26+D29+D31+D32</f>
        <v>4517</v>
      </c>
      <c r="E34" s="80">
        <f>+E10+E11+E12+E14+E15+E16+E18+E21+E23+E24+E26+E29+E31+E32</f>
        <v>2224</v>
      </c>
      <c r="F34" s="80">
        <f>+F10+F11+F12+F14+F15+F16+F18+F21+F23+F24+F26+F29+F31+F32</f>
        <v>175</v>
      </c>
      <c r="G34" s="80">
        <f>+G10+G11+G12+G14+G15+G16+G18+G21+G23+G24+G26+G29+G31+G32</f>
        <v>1364</v>
      </c>
      <c r="H34" s="195">
        <f t="shared" si="1"/>
        <v>24.02659574468085</v>
      </c>
      <c r="J34" s="80">
        <f>+J10+J11+J12+J14+J15+J16+J18+J21+J23+J24+J26+J29+J31+J32</f>
        <v>72</v>
      </c>
      <c r="K34" s="80">
        <f>+K10+K11+K12+K14+K15+K16+K18+K21+K23+K24+K26+K29+K31+K32</f>
        <v>1609</v>
      </c>
      <c r="L34" s="80">
        <f>+L10+L11+L12+L14+L15+L16+L18+L21+L23+L24+L26+L29+L31+L32</f>
        <v>796</v>
      </c>
      <c r="M34" s="80">
        <f>+M10+M11+M12+M14+M15+M16+M18+M21+M23+M24+M26+M29+M31+M32</f>
        <v>34</v>
      </c>
      <c r="N34" s="80">
        <f>+N10+N11+N12+N14+N15+N16+N18+N21+N23+N24+N26+N29+N31+N32</f>
        <v>810</v>
      </c>
      <c r="O34" s="195">
        <f t="shared" si="3"/>
        <v>22.34722222222222</v>
      </c>
      <c r="Q34" s="80">
        <f t="shared" si="0"/>
        <v>260</v>
      </c>
      <c r="R34" s="80">
        <f t="shared" si="0"/>
        <v>6126</v>
      </c>
      <c r="S34" s="80">
        <f t="shared" si="0"/>
        <v>3020</v>
      </c>
      <c r="T34" s="80">
        <f t="shared" si="0"/>
        <v>209</v>
      </c>
      <c r="U34" s="80">
        <f t="shared" si="0"/>
        <v>2174</v>
      </c>
      <c r="V34" s="195">
        <f t="shared" si="2"/>
        <v>23.56153846153846</v>
      </c>
    </row>
    <row r="35" spans="1:22" ht="12">
      <c r="A35" s="196" t="s">
        <v>48</v>
      </c>
      <c r="B35" s="196"/>
      <c r="C35" s="171">
        <f>+C9+C13+C17+C22+C25+C30</f>
        <v>215</v>
      </c>
      <c r="D35" s="171">
        <f>+D9+D13+D17+D22+D25+D30</f>
        <v>5157</v>
      </c>
      <c r="E35" s="93">
        <f>+E9+E13+E17+E22+E25+E30</f>
        <v>2537</v>
      </c>
      <c r="F35" s="93">
        <f>+F9+F13+F17+F22+F25+F30</f>
        <v>202</v>
      </c>
      <c r="G35" s="93">
        <f>+G9+G13+G17+G22+G25+G30</f>
        <v>1464</v>
      </c>
      <c r="H35" s="94">
        <f t="shared" si="1"/>
        <v>23.986046511627908</v>
      </c>
      <c r="J35" s="171">
        <f>+J9+J13+J17+J22+J25+J30</f>
        <v>80</v>
      </c>
      <c r="K35" s="171">
        <f>+K9+K13+K17+K22+K25+K30</f>
        <v>1784</v>
      </c>
      <c r="L35" s="93">
        <f>+L9+L13+L17+L22+L25+L30</f>
        <v>876</v>
      </c>
      <c r="M35" s="93">
        <f>+M9+M13+M17+M22+M25+M30</f>
        <v>39</v>
      </c>
      <c r="N35" s="93">
        <f>+N9+N13+N17+N22+N25+N30</f>
        <v>879</v>
      </c>
      <c r="O35" s="94">
        <f t="shared" si="3"/>
        <v>22.3</v>
      </c>
      <c r="Q35" s="171">
        <f t="shared" si="0"/>
        <v>295</v>
      </c>
      <c r="R35" s="171">
        <f>K35+D35</f>
        <v>6941</v>
      </c>
      <c r="S35" s="93">
        <f t="shared" si="0"/>
        <v>3413</v>
      </c>
      <c r="T35" s="93">
        <f t="shared" si="0"/>
        <v>241</v>
      </c>
      <c r="U35" s="93">
        <f t="shared" si="0"/>
        <v>2343</v>
      </c>
      <c r="V35" s="94">
        <f>R35/Q35</f>
        <v>23.528813559322035</v>
      </c>
    </row>
    <row r="36" spans="1:22" ht="12">
      <c r="A36" s="97" t="s">
        <v>134</v>
      </c>
      <c r="B36" s="106"/>
      <c r="C36" s="107"/>
      <c r="D36" s="106"/>
      <c r="E36" s="106"/>
      <c r="F36" s="106"/>
      <c r="G36" s="106"/>
      <c r="H36" s="107"/>
      <c r="I36" s="107"/>
      <c r="J36" s="108"/>
      <c r="K36" s="108"/>
      <c r="L36" s="197"/>
      <c r="M36" s="108"/>
      <c r="N36" s="109"/>
      <c r="O36" s="109"/>
      <c r="P36" s="106"/>
      <c r="Q36" s="106"/>
      <c r="T36" s="106"/>
      <c r="U36" s="106"/>
      <c r="V36" s="106"/>
    </row>
    <row r="37" spans="1:22" ht="12">
      <c r="A37" s="97" t="s">
        <v>59</v>
      </c>
      <c r="B37" s="106"/>
      <c r="C37" s="107"/>
      <c r="D37" s="106"/>
      <c r="E37" s="106"/>
      <c r="F37" s="106"/>
      <c r="G37" s="106"/>
      <c r="H37" s="107"/>
      <c r="I37" s="107"/>
      <c r="J37" s="108"/>
      <c r="K37" s="108"/>
      <c r="L37" s="197"/>
      <c r="M37" s="108"/>
      <c r="N37" s="109"/>
      <c r="O37" s="109"/>
      <c r="P37" s="106"/>
      <c r="Q37" s="106"/>
      <c r="R37" s="106"/>
      <c r="S37" s="106"/>
      <c r="T37" s="106"/>
      <c r="U37" s="106"/>
      <c r="V37" s="106"/>
    </row>
    <row r="38" spans="1:22" ht="12">
      <c r="A38" s="105" t="s">
        <v>60</v>
      </c>
      <c r="B38" s="106"/>
      <c r="C38" s="107"/>
      <c r="D38" s="106"/>
      <c r="E38" s="106"/>
      <c r="F38" s="106"/>
      <c r="G38" s="106"/>
      <c r="H38" s="107"/>
      <c r="I38" s="107"/>
      <c r="J38" s="108"/>
      <c r="K38" s="108"/>
      <c r="L38" s="108"/>
      <c r="M38" s="108"/>
      <c r="N38" s="109"/>
      <c r="O38" s="109"/>
      <c r="P38" s="106"/>
      <c r="Q38" s="106"/>
      <c r="R38" s="106"/>
      <c r="S38" s="106"/>
      <c r="T38" s="106"/>
      <c r="U38" s="106"/>
      <c r="V38" s="106"/>
    </row>
    <row r="39" spans="1:22" ht="12">
      <c r="A39" s="105" t="s">
        <v>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6"/>
      <c r="Q39" s="106"/>
      <c r="R39" s="106"/>
      <c r="S39" s="106"/>
      <c r="T39" s="106"/>
      <c r="U39" s="106"/>
      <c r="V39" s="106"/>
    </row>
    <row r="40" spans="1:22" ht="12">
      <c r="A40" s="97" t="s">
        <v>85</v>
      </c>
      <c r="B40" s="106"/>
      <c r="C40" s="107"/>
      <c r="D40" s="107"/>
      <c r="E40" s="106"/>
      <c r="F40" s="106"/>
      <c r="G40" s="106"/>
      <c r="H40" s="107"/>
      <c r="I40" s="108"/>
      <c r="J40" s="108"/>
      <c r="K40" s="108"/>
      <c r="L40" s="109"/>
      <c r="M40" s="106"/>
      <c r="N40" s="106"/>
      <c r="O40" s="106"/>
      <c r="P40" s="106"/>
      <c r="Q40" s="106"/>
      <c r="R40" s="106"/>
      <c r="S40" s="106"/>
      <c r="T40" s="144"/>
      <c r="U40" s="144"/>
      <c r="V40" s="144"/>
    </row>
    <row r="41" spans="1:19" ht="12">
      <c r="A41" s="97" t="s">
        <v>90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96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ht="12">
      <c r="A45" s="97" t="s">
        <v>101</v>
      </c>
    </row>
    <row r="46" ht="12">
      <c r="A46" s="109" t="s">
        <v>135</v>
      </c>
    </row>
    <row r="47" ht="12">
      <c r="A47" s="109" t="s">
        <v>136</v>
      </c>
    </row>
    <row r="48" ht="12">
      <c r="A48" s="109" t="s">
        <v>137</v>
      </c>
    </row>
    <row r="49" ht="12">
      <c r="A49" s="109" t="s">
        <v>138</v>
      </c>
    </row>
    <row r="50" ht="12">
      <c r="A50" s="109" t="s">
        <v>139</v>
      </c>
    </row>
    <row r="51" ht="12">
      <c r="A51" s="109" t="s">
        <v>140</v>
      </c>
    </row>
    <row r="53" ht="12">
      <c r="A53" s="105" t="s">
        <v>142</v>
      </c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&amp;R400042.xls</oddHeader>
    <oddFooter>&amp;LComune di Bologna - Dipartimento Programmazione</oddFooter>
  </headerFooter>
  <ignoredErrors>
    <ignoredError sqref="C10:P13 C16:P30 E14:P14 C9:Q9 R9:V9 Q14:V14 Q15:V34 Q10:V13 H15:P15 C32:P35 H31:P31 Q35:R35 S35:V35" unlockedFormula="1"/>
    <ignoredError sqref="E8:U8 O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PageLayoutView="0" workbookViewId="0" topLeftCell="A2">
      <selection activeCell="A37" sqref="A37"/>
    </sheetView>
  </sheetViews>
  <sheetFormatPr defaultColWidth="10.625" defaultRowHeight="12"/>
  <cols>
    <col min="1" max="1" width="15.25390625" style="21" customWidth="1"/>
    <col min="2" max="2" width="15.25390625" style="21" bestFit="1" customWidth="1"/>
    <col min="3" max="6" width="8.125" style="21" customWidth="1"/>
    <col min="7" max="7" width="7.875" style="21" bestFit="1" customWidth="1"/>
    <col min="8" max="8" width="9.125" style="21" customWidth="1"/>
    <col min="9" max="9" width="2.125" style="21" customWidth="1"/>
    <col min="10" max="12" width="8.125" style="21" customWidth="1"/>
    <col min="13" max="13" width="8.75390625" style="21" bestFit="1" customWidth="1"/>
    <col min="14" max="14" width="7.875" style="21" bestFit="1" customWidth="1"/>
    <col min="15" max="15" width="8.125" style="21" customWidth="1"/>
    <col min="16" max="16" width="2.25390625" style="21" customWidth="1"/>
    <col min="17" max="18" width="8.125" style="21" customWidth="1"/>
    <col min="19" max="19" width="7.125" style="21" customWidth="1"/>
    <col min="20" max="20" width="8.875" style="21" bestFit="1" customWidth="1"/>
    <col min="21" max="21" width="6.75390625" style="21" customWidth="1"/>
    <col min="22" max="22" width="9.25390625" style="21" bestFit="1" customWidth="1"/>
    <col min="23" max="23" width="0.6171875" style="2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132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49"/>
      <c r="U2" s="49"/>
      <c r="V2" s="49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53" t="s">
        <v>103</v>
      </c>
      <c r="C3" s="202" t="s">
        <v>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3"/>
      <c r="X3" s="23"/>
      <c r="Y3" s="23"/>
      <c r="Z3" s="23"/>
      <c r="AA3" s="23"/>
      <c r="AB3" s="23"/>
      <c r="AC3" s="23"/>
      <c r="AD3" s="23"/>
    </row>
    <row r="4" spans="1:30" ht="12">
      <c r="A4" s="187"/>
      <c r="B4" s="187"/>
      <c r="C4" s="203" t="s">
        <v>2</v>
      </c>
      <c r="D4" s="203"/>
      <c r="E4" s="203"/>
      <c r="F4" s="203"/>
      <c r="G4" s="203"/>
      <c r="H4" s="203"/>
      <c r="I4" s="115"/>
      <c r="J4" s="203" t="s">
        <v>3</v>
      </c>
      <c r="K4" s="203"/>
      <c r="L4" s="203"/>
      <c r="M4" s="203"/>
      <c r="N4" s="203"/>
      <c r="O4" s="203"/>
      <c r="P4" s="115"/>
      <c r="Q4" s="203" t="s">
        <v>20</v>
      </c>
      <c r="R4" s="203"/>
      <c r="S4" s="203"/>
      <c r="T4" s="203"/>
      <c r="U4" s="203"/>
      <c r="V4" s="203"/>
      <c r="W4" s="24"/>
      <c r="X4" s="24"/>
      <c r="Y4" s="24"/>
      <c r="Z4" s="24"/>
      <c r="AA4" s="23"/>
      <c r="AB4" s="23"/>
      <c r="AC4" s="23"/>
      <c r="AD4" s="24"/>
    </row>
    <row r="5" spans="1:29" ht="12">
      <c r="A5" s="187"/>
      <c r="B5" s="187"/>
      <c r="C5" s="57" t="s">
        <v>4</v>
      </c>
      <c r="D5" s="202" t="s">
        <v>5</v>
      </c>
      <c r="E5" s="202"/>
      <c r="F5" s="202"/>
      <c r="G5" s="202"/>
      <c r="H5" s="202"/>
      <c r="I5" s="112"/>
      <c r="J5" s="57" t="s">
        <v>4</v>
      </c>
      <c r="K5" s="204" t="s">
        <v>5</v>
      </c>
      <c r="L5" s="204"/>
      <c r="M5" s="204"/>
      <c r="N5" s="204"/>
      <c r="O5" s="204"/>
      <c r="P5" s="112"/>
      <c r="Q5" s="57" t="s">
        <v>4</v>
      </c>
      <c r="R5" s="204" t="s">
        <v>5</v>
      </c>
      <c r="S5" s="204"/>
      <c r="T5" s="204"/>
      <c r="U5" s="204"/>
      <c r="V5" s="204"/>
      <c r="AA5" s="24"/>
      <c r="AB5" s="24"/>
      <c r="AC5" s="24"/>
    </row>
    <row r="6" spans="1:22" ht="12">
      <c r="A6" s="187"/>
      <c r="B6" s="187"/>
      <c r="C6" s="58"/>
      <c r="D6" s="58" t="s">
        <v>6</v>
      </c>
      <c r="E6" s="59" t="s">
        <v>19</v>
      </c>
      <c r="F6" s="59" t="s">
        <v>19</v>
      </c>
      <c r="G6" s="59" t="s">
        <v>19</v>
      </c>
      <c r="H6" s="58" t="s">
        <v>22</v>
      </c>
      <c r="I6" s="58"/>
      <c r="J6" s="58"/>
      <c r="K6" s="58" t="s">
        <v>6</v>
      </c>
      <c r="L6" s="59" t="s">
        <v>19</v>
      </c>
      <c r="M6" s="59" t="s">
        <v>19</v>
      </c>
      <c r="N6" s="59" t="s">
        <v>19</v>
      </c>
      <c r="O6" s="58" t="s">
        <v>22</v>
      </c>
      <c r="P6" s="58"/>
      <c r="Q6" s="58"/>
      <c r="R6" s="58" t="s">
        <v>6</v>
      </c>
      <c r="S6" s="59" t="s">
        <v>19</v>
      </c>
      <c r="T6" s="59" t="s">
        <v>19</v>
      </c>
      <c r="U6" s="59" t="s">
        <v>19</v>
      </c>
      <c r="V6" s="58" t="s">
        <v>22</v>
      </c>
    </row>
    <row r="7" spans="1:22" ht="12">
      <c r="A7" s="187"/>
      <c r="B7" s="187"/>
      <c r="C7" s="58"/>
      <c r="D7" s="58"/>
      <c r="E7" s="59" t="s">
        <v>57</v>
      </c>
      <c r="F7" s="59" t="s">
        <v>27</v>
      </c>
      <c r="G7" s="59" t="s">
        <v>23</v>
      </c>
      <c r="H7" s="133" t="s">
        <v>24</v>
      </c>
      <c r="I7" s="58"/>
      <c r="J7" s="58"/>
      <c r="K7" s="58"/>
      <c r="L7" s="59" t="s">
        <v>57</v>
      </c>
      <c r="M7" s="59" t="s">
        <v>27</v>
      </c>
      <c r="N7" s="59" t="s">
        <v>23</v>
      </c>
      <c r="O7" s="133" t="s">
        <v>24</v>
      </c>
      <c r="P7" s="58"/>
      <c r="Q7" s="58"/>
      <c r="R7" s="58"/>
      <c r="S7" s="59" t="s">
        <v>57</v>
      </c>
      <c r="T7" s="59" t="s">
        <v>27</v>
      </c>
      <c r="U7" s="59" t="s">
        <v>23</v>
      </c>
      <c r="V7" s="133" t="s">
        <v>24</v>
      </c>
    </row>
    <row r="8" spans="1:22" ht="12">
      <c r="A8" s="188"/>
      <c r="B8" s="188"/>
      <c r="C8" s="64"/>
      <c r="D8" s="64"/>
      <c r="E8" s="65" t="s">
        <v>49</v>
      </c>
      <c r="F8" s="66" t="s">
        <v>28</v>
      </c>
      <c r="G8" s="65" t="s">
        <v>58</v>
      </c>
      <c r="H8" s="68"/>
      <c r="I8" s="68"/>
      <c r="J8" s="64"/>
      <c r="K8" s="64"/>
      <c r="L8" s="65" t="s">
        <v>49</v>
      </c>
      <c r="M8" s="66" t="s">
        <v>28</v>
      </c>
      <c r="N8" s="65" t="s">
        <v>58</v>
      </c>
      <c r="O8" s="68"/>
      <c r="P8" s="68"/>
      <c r="Q8" s="64"/>
      <c r="R8" s="64"/>
      <c r="S8" s="65" t="s">
        <v>49</v>
      </c>
      <c r="T8" s="66" t="s">
        <v>28</v>
      </c>
      <c r="U8" s="65" t="s">
        <v>58</v>
      </c>
      <c r="V8" s="68"/>
    </row>
    <row r="9" spans="1:22" ht="12">
      <c r="A9" s="189" t="s">
        <v>104</v>
      </c>
      <c r="B9" s="189"/>
      <c r="C9" s="75">
        <f>C10+C11+C12</f>
        <v>43</v>
      </c>
      <c r="D9" s="75">
        <f>D10+D11+D12</f>
        <v>1071</v>
      </c>
      <c r="E9" s="80">
        <f>E10+E11+E12</f>
        <v>531</v>
      </c>
      <c r="F9" s="80">
        <f>F10+F11+F12</f>
        <v>46</v>
      </c>
      <c r="G9" s="80">
        <f>G10+G11+G12</f>
        <v>353</v>
      </c>
      <c r="H9" s="74">
        <f>D9/C9</f>
        <v>24.906976744186046</v>
      </c>
      <c r="J9" s="75">
        <f>J10+J11+J12</f>
        <v>6</v>
      </c>
      <c r="K9" s="75">
        <f>K10+K11+K12</f>
        <v>147</v>
      </c>
      <c r="L9" s="80">
        <f>L10+L11+L12</f>
        <v>76</v>
      </c>
      <c r="M9" s="80">
        <f>M10+M11+M12</f>
        <v>0</v>
      </c>
      <c r="N9" s="80">
        <f>N10+N11+N12</f>
        <v>68</v>
      </c>
      <c r="O9" s="74">
        <f>K9/J9</f>
        <v>24.5</v>
      </c>
      <c r="Q9" s="75">
        <f aca="true" t="shared" si="0" ref="Q9:U35">J9+C9</f>
        <v>49</v>
      </c>
      <c r="R9" s="190">
        <f t="shared" si="0"/>
        <v>1218</v>
      </c>
      <c r="S9" s="80">
        <f t="shared" si="0"/>
        <v>607</v>
      </c>
      <c r="T9" s="164">
        <f t="shared" si="0"/>
        <v>46</v>
      </c>
      <c r="U9" s="164">
        <f>N9+G9</f>
        <v>421</v>
      </c>
      <c r="V9" s="74">
        <f>R9/Q9</f>
        <v>24.857142857142858</v>
      </c>
    </row>
    <row r="10" spans="1:22" ht="12">
      <c r="A10" s="144"/>
      <c r="B10" s="144" t="s">
        <v>105</v>
      </c>
      <c r="C10" s="123">
        <v>12</v>
      </c>
      <c r="D10" s="123">
        <v>301</v>
      </c>
      <c r="E10" s="153">
        <v>172</v>
      </c>
      <c r="F10" s="153">
        <v>12</v>
      </c>
      <c r="G10" s="153">
        <v>85</v>
      </c>
      <c r="H10" s="79">
        <f>D10/C10</f>
        <v>25.083333333333332</v>
      </c>
      <c r="J10" s="123">
        <v>4</v>
      </c>
      <c r="K10" s="123">
        <v>100</v>
      </c>
      <c r="L10" s="153">
        <v>51</v>
      </c>
      <c r="M10" s="153"/>
      <c r="N10" s="153">
        <v>47</v>
      </c>
      <c r="O10" s="79">
        <f>K10/J10</f>
        <v>25</v>
      </c>
      <c r="Q10" s="123">
        <f t="shared" si="0"/>
        <v>16</v>
      </c>
      <c r="R10" s="123">
        <f t="shared" si="0"/>
        <v>401</v>
      </c>
      <c r="S10" s="153">
        <f t="shared" si="0"/>
        <v>223</v>
      </c>
      <c r="T10" s="153">
        <f t="shared" si="0"/>
        <v>12</v>
      </c>
      <c r="U10" s="153">
        <f t="shared" si="0"/>
        <v>132</v>
      </c>
      <c r="V10" s="79">
        <f>R10/Q10</f>
        <v>25.0625</v>
      </c>
    </row>
    <row r="11" spans="1:22" ht="12">
      <c r="A11" s="144"/>
      <c r="B11" s="144" t="s">
        <v>106</v>
      </c>
      <c r="C11" s="123">
        <v>21</v>
      </c>
      <c r="D11" s="123">
        <v>522</v>
      </c>
      <c r="E11" s="153">
        <v>238</v>
      </c>
      <c r="F11" s="153">
        <v>23</v>
      </c>
      <c r="G11" s="153">
        <v>187</v>
      </c>
      <c r="H11" s="79">
        <f aca="true" t="shared" si="1" ref="H11:H35">D11/C11</f>
        <v>24.857142857142858</v>
      </c>
      <c r="J11" s="123"/>
      <c r="K11" s="123"/>
      <c r="L11" s="153"/>
      <c r="M11" s="153"/>
      <c r="N11" s="153"/>
      <c r="O11" s="79"/>
      <c r="Q11" s="123">
        <f t="shared" si="0"/>
        <v>21</v>
      </c>
      <c r="R11" s="123">
        <f t="shared" si="0"/>
        <v>522</v>
      </c>
      <c r="S11" s="153">
        <f t="shared" si="0"/>
        <v>238</v>
      </c>
      <c r="T11" s="153">
        <f t="shared" si="0"/>
        <v>23</v>
      </c>
      <c r="U11" s="153">
        <f t="shared" si="0"/>
        <v>187</v>
      </c>
      <c r="V11" s="79">
        <f aca="true" t="shared" si="2" ref="V11:V34">R11/Q11</f>
        <v>24.857142857142858</v>
      </c>
    </row>
    <row r="12" spans="1:22" ht="12">
      <c r="A12" s="144"/>
      <c r="B12" s="144" t="s">
        <v>107</v>
      </c>
      <c r="C12" s="123">
        <v>10</v>
      </c>
      <c r="D12" s="123">
        <v>248</v>
      </c>
      <c r="E12" s="153">
        <v>121</v>
      </c>
      <c r="F12" s="153">
        <v>11</v>
      </c>
      <c r="G12" s="153">
        <v>81</v>
      </c>
      <c r="H12" s="79">
        <f t="shared" si="1"/>
        <v>24.8</v>
      </c>
      <c r="J12" s="123">
        <v>2</v>
      </c>
      <c r="K12" s="123">
        <v>47</v>
      </c>
      <c r="L12" s="153">
        <v>25</v>
      </c>
      <c r="M12" s="153"/>
      <c r="N12" s="153">
        <v>21</v>
      </c>
      <c r="O12" s="79">
        <f aca="true" t="shared" si="3" ref="O12:O35">K12/J12</f>
        <v>23.5</v>
      </c>
      <c r="Q12" s="123">
        <f t="shared" si="0"/>
        <v>12</v>
      </c>
      <c r="R12" s="123">
        <f t="shared" si="0"/>
        <v>295</v>
      </c>
      <c r="S12" s="153">
        <f t="shared" si="0"/>
        <v>146</v>
      </c>
      <c r="T12" s="153">
        <f t="shared" si="0"/>
        <v>11</v>
      </c>
      <c r="U12" s="153">
        <f t="shared" si="0"/>
        <v>102</v>
      </c>
      <c r="V12" s="79">
        <f t="shared" si="2"/>
        <v>24.583333333333332</v>
      </c>
    </row>
    <row r="13" spans="1:22" ht="12">
      <c r="A13" s="191" t="s">
        <v>10</v>
      </c>
      <c r="B13" s="191"/>
      <c r="C13" s="75">
        <f>C14+C15+C16</f>
        <v>34</v>
      </c>
      <c r="D13" s="75">
        <f>D14+D15+D16</f>
        <v>860</v>
      </c>
      <c r="E13" s="80">
        <f>E14+E15+E16</f>
        <v>430</v>
      </c>
      <c r="F13" s="80">
        <f>F14+F15+F16</f>
        <v>46</v>
      </c>
      <c r="G13" s="80">
        <f>G14+G15+G16</f>
        <v>343</v>
      </c>
      <c r="H13" s="74">
        <f t="shared" si="1"/>
        <v>25.294117647058822</v>
      </c>
      <c r="J13" s="75">
        <f>J14+J15+J16</f>
        <v>18</v>
      </c>
      <c r="K13" s="75">
        <f>K14+K15+K16</f>
        <v>416</v>
      </c>
      <c r="L13" s="80">
        <f>L14+L15+L16</f>
        <v>219</v>
      </c>
      <c r="M13" s="80">
        <f>M14+M15+M16</f>
        <v>14</v>
      </c>
      <c r="N13" s="80">
        <f>N14+N15+N16</f>
        <v>286</v>
      </c>
      <c r="O13" s="74">
        <f t="shared" si="3"/>
        <v>23.11111111111111</v>
      </c>
      <c r="Q13" s="75">
        <f t="shared" si="0"/>
        <v>52</v>
      </c>
      <c r="R13" s="75">
        <f t="shared" si="0"/>
        <v>1276</v>
      </c>
      <c r="S13" s="80">
        <f t="shared" si="0"/>
        <v>649</v>
      </c>
      <c r="T13" s="80">
        <f t="shared" si="0"/>
        <v>60</v>
      </c>
      <c r="U13" s="80">
        <f t="shared" si="0"/>
        <v>629</v>
      </c>
      <c r="V13" s="74">
        <f t="shared" si="2"/>
        <v>24.53846153846154</v>
      </c>
    </row>
    <row r="14" spans="1:22" ht="12">
      <c r="A14" s="192"/>
      <c r="B14" s="144" t="s">
        <v>108</v>
      </c>
      <c r="C14" s="123">
        <v>17</v>
      </c>
      <c r="D14" s="123">
        <v>428</v>
      </c>
      <c r="E14" s="153">
        <v>221</v>
      </c>
      <c r="F14" s="153">
        <v>27</v>
      </c>
      <c r="G14" s="153">
        <v>158</v>
      </c>
      <c r="H14" s="79">
        <f t="shared" si="1"/>
        <v>25.176470588235293</v>
      </c>
      <c r="J14" s="123">
        <v>10</v>
      </c>
      <c r="K14" s="123">
        <v>231</v>
      </c>
      <c r="L14" s="153">
        <v>117</v>
      </c>
      <c r="M14" s="153">
        <v>10</v>
      </c>
      <c r="N14" s="153">
        <v>168</v>
      </c>
      <c r="O14" s="79">
        <f t="shared" si="3"/>
        <v>23.1</v>
      </c>
      <c r="Q14" s="123">
        <f t="shared" si="0"/>
        <v>27</v>
      </c>
      <c r="R14" s="123">
        <f t="shared" si="0"/>
        <v>659</v>
      </c>
      <c r="S14" s="153">
        <f t="shared" si="0"/>
        <v>338</v>
      </c>
      <c r="T14" s="153">
        <f t="shared" si="0"/>
        <v>37</v>
      </c>
      <c r="U14" s="153">
        <f t="shared" si="0"/>
        <v>326</v>
      </c>
      <c r="V14" s="79">
        <f t="shared" si="2"/>
        <v>24.40740740740741</v>
      </c>
    </row>
    <row r="15" spans="1:22" ht="12">
      <c r="A15" s="193"/>
      <c r="B15" s="144" t="s">
        <v>109</v>
      </c>
      <c r="C15" s="123">
        <v>10</v>
      </c>
      <c r="D15" s="123">
        <v>259</v>
      </c>
      <c r="E15" s="153">
        <v>122</v>
      </c>
      <c r="F15" s="153">
        <v>8</v>
      </c>
      <c r="G15" s="153">
        <v>107</v>
      </c>
      <c r="H15" s="79">
        <f t="shared" si="1"/>
        <v>25.9</v>
      </c>
      <c r="J15" s="123">
        <v>4</v>
      </c>
      <c r="K15" s="123">
        <v>99</v>
      </c>
      <c r="L15" s="153">
        <v>59</v>
      </c>
      <c r="M15" s="153">
        <v>2</v>
      </c>
      <c r="N15" s="153">
        <v>53</v>
      </c>
      <c r="O15" s="79">
        <f t="shared" si="3"/>
        <v>24.75</v>
      </c>
      <c r="Q15" s="123">
        <f t="shared" si="0"/>
        <v>14</v>
      </c>
      <c r="R15" s="123">
        <f t="shared" si="0"/>
        <v>358</v>
      </c>
      <c r="S15" s="153">
        <f t="shared" si="0"/>
        <v>181</v>
      </c>
      <c r="T15" s="153">
        <f t="shared" si="0"/>
        <v>10</v>
      </c>
      <c r="U15" s="153">
        <f t="shared" si="0"/>
        <v>160</v>
      </c>
      <c r="V15" s="79">
        <f t="shared" si="2"/>
        <v>25.571428571428573</v>
      </c>
    </row>
    <row r="16" spans="1:22" ht="12">
      <c r="A16" s="193"/>
      <c r="B16" s="144" t="s">
        <v>110</v>
      </c>
      <c r="C16" s="123">
        <v>7</v>
      </c>
      <c r="D16" s="123">
        <v>173</v>
      </c>
      <c r="E16" s="153">
        <v>87</v>
      </c>
      <c r="F16" s="153">
        <v>11</v>
      </c>
      <c r="G16" s="153">
        <v>78</v>
      </c>
      <c r="H16" s="79">
        <f t="shared" si="1"/>
        <v>24.714285714285715</v>
      </c>
      <c r="J16" s="123">
        <v>4</v>
      </c>
      <c r="K16" s="123">
        <v>86</v>
      </c>
      <c r="L16" s="153">
        <v>43</v>
      </c>
      <c r="M16" s="153">
        <v>2</v>
      </c>
      <c r="N16" s="153">
        <v>65</v>
      </c>
      <c r="O16" s="79">
        <f t="shared" si="3"/>
        <v>21.5</v>
      </c>
      <c r="Q16" s="123">
        <f t="shared" si="0"/>
        <v>11</v>
      </c>
      <c r="R16" s="123">
        <f t="shared" si="0"/>
        <v>259</v>
      </c>
      <c r="S16" s="153">
        <f t="shared" si="0"/>
        <v>130</v>
      </c>
      <c r="T16" s="153">
        <f t="shared" si="0"/>
        <v>13</v>
      </c>
      <c r="U16" s="153">
        <f t="shared" si="0"/>
        <v>143</v>
      </c>
      <c r="V16" s="79">
        <f t="shared" si="2"/>
        <v>23.545454545454547</v>
      </c>
    </row>
    <row r="17" spans="1:22" ht="12">
      <c r="A17" s="191" t="s">
        <v>111</v>
      </c>
      <c r="B17" s="191"/>
      <c r="C17" s="75">
        <f>C18+C19+C20+C21</f>
        <v>44</v>
      </c>
      <c r="D17" s="75">
        <f>D18+D19+D20+D21</f>
        <v>1061</v>
      </c>
      <c r="E17" s="80">
        <f>E18+E19+E20+E21</f>
        <v>525</v>
      </c>
      <c r="F17" s="80">
        <f>F18+F19+F20+F21</f>
        <v>27</v>
      </c>
      <c r="G17" s="80">
        <f>G18+G19+G20+G21</f>
        <v>239</v>
      </c>
      <c r="H17" s="74">
        <f t="shared" si="1"/>
        <v>24.113636363636363</v>
      </c>
      <c r="J17" s="75">
        <f>J18+J19+J20+J21</f>
        <v>8</v>
      </c>
      <c r="K17" s="75">
        <f>K18+K19+K20+K21</f>
        <v>183</v>
      </c>
      <c r="L17" s="80">
        <f>L18+L19+L20+L21</f>
        <v>97</v>
      </c>
      <c r="M17" s="80">
        <f>M18+M19+M20+M21</f>
        <v>5</v>
      </c>
      <c r="N17" s="80">
        <f>N18+N19+N20+N21</f>
        <v>72</v>
      </c>
      <c r="O17" s="74">
        <f t="shared" si="3"/>
        <v>22.875</v>
      </c>
      <c r="Q17" s="75">
        <f t="shared" si="0"/>
        <v>52</v>
      </c>
      <c r="R17" s="75">
        <f t="shared" si="0"/>
        <v>1244</v>
      </c>
      <c r="S17" s="80">
        <f t="shared" si="0"/>
        <v>622</v>
      </c>
      <c r="T17" s="80">
        <f t="shared" si="0"/>
        <v>32</v>
      </c>
      <c r="U17" s="80">
        <f t="shared" si="0"/>
        <v>311</v>
      </c>
      <c r="V17" s="74">
        <f t="shared" si="2"/>
        <v>23.923076923076923</v>
      </c>
    </row>
    <row r="18" spans="1:22" ht="12">
      <c r="A18" s="193"/>
      <c r="B18" s="144" t="s">
        <v>112</v>
      </c>
      <c r="C18" s="123">
        <v>19</v>
      </c>
      <c r="D18" s="123">
        <v>458</v>
      </c>
      <c r="E18" s="153">
        <v>230</v>
      </c>
      <c r="F18" s="153">
        <v>13</v>
      </c>
      <c r="G18" s="153">
        <v>86</v>
      </c>
      <c r="H18" s="79">
        <f t="shared" si="1"/>
        <v>24.105263157894736</v>
      </c>
      <c r="J18" s="123"/>
      <c r="K18" s="123"/>
      <c r="L18" s="153"/>
      <c r="M18" s="153"/>
      <c r="N18" s="153"/>
      <c r="O18" s="79"/>
      <c r="Q18" s="123">
        <f t="shared" si="0"/>
        <v>19</v>
      </c>
      <c r="R18" s="123">
        <f t="shared" si="0"/>
        <v>458</v>
      </c>
      <c r="S18" s="153">
        <f t="shared" si="0"/>
        <v>230</v>
      </c>
      <c r="T18" s="153">
        <f t="shared" si="0"/>
        <v>13</v>
      </c>
      <c r="U18" s="153">
        <f t="shared" si="0"/>
        <v>86</v>
      </c>
      <c r="V18" s="79">
        <f t="shared" si="2"/>
        <v>24.105263157894736</v>
      </c>
    </row>
    <row r="19" spans="1:22" ht="12">
      <c r="A19" s="193"/>
      <c r="B19" s="144" t="s">
        <v>113</v>
      </c>
      <c r="C19" s="123">
        <v>7</v>
      </c>
      <c r="D19" s="123">
        <v>174</v>
      </c>
      <c r="E19" s="153">
        <v>82</v>
      </c>
      <c r="F19" s="153">
        <v>7</v>
      </c>
      <c r="G19" s="153">
        <v>34</v>
      </c>
      <c r="H19" s="79">
        <f t="shared" si="1"/>
        <v>24.857142857142858</v>
      </c>
      <c r="J19" s="123">
        <v>2</v>
      </c>
      <c r="K19" s="123">
        <v>48</v>
      </c>
      <c r="L19" s="153">
        <v>24</v>
      </c>
      <c r="M19" s="153">
        <v>1</v>
      </c>
      <c r="N19" s="153">
        <v>19</v>
      </c>
      <c r="O19" s="79">
        <f t="shared" si="3"/>
        <v>24</v>
      </c>
      <c r="Q19" s="123">
        <f t="shared" si="0"/>
        <v>9</v>
      </c>
      <c r="R19" s="123">
        <f t="shared" si="0"/>
        <v>222</v>
      </c>
      <c r="S19" s="153">
        <f t="shared" si="0"/>
        <v>106</v>
      </c>
      <c r="T19" s="153">
        <f t="shared" si="0"/>
        <v>8</v>
      </c>
      <c r="U19" s="153">
        <f t="shared" si="0"/>
        <v>53</v>
      </c>
      <c r="V19" s="79">
        <f t="shared" si="2"/>
        <v>24.666666666666668</v>
      </c>
    </row>
    <row r="20" spans="1:22" ht="12">
      <c r="A20" s="192"/>
      <c r="B20" s="144" t="s">
        <v>114</v>
      </c>
      <c r="C20" s="123">
        <v>2</v>
      </c>
      <c r="D20" s="123">
        <v>52</v>
      </c>
      <c r="E20" s="153">
        <v>28</v>
      </c>
      <c r="F20" s="153">
        <v>2</v>
      </c>
      <c r="G20" s="153">
        <v>9</v>
      </c>
      <c r="H20" s="79">
        <f t="shared" si="1"/>
        <v>26</v>
      </c>
      <c r="J20" s="123">
        <v>6</v>
      </c>
      <c r="K20" s="123">
        <v>135</v>
      </c>
      <c r="L20" s="153">
        <v>73</v>
      </c>
      <c r="M20" s="153">
        <v>4</v>
      </c>
      <c r="N20" s="153">
        <v>53</v>
      </c>
      <c r="O20" s="79">
        <f t="shared" si="3"/>
        <v>22.5</v>
      </c>
      <c r="Q20" s="123">
        <f t="shared" si="0"/>
        <v>8</v>
      </c>
      <c r="R20" s="123">
        <f t="shared" si="0"/>
        <v>187</v>
      </c>
      <c r="S20" s="153">
        <f t="shared" si="0"/>
        <v>101</v>
      </c>
      <c r="T20" s="153">
        <f t="shared" si="0"/>
        <v>6</v>
      </c>
      <c r="U20" s="153">
        <f t="shared" si="0"/>
        <v>62</v>
      </c>
      <c r="V20" s="79">
        <f t="shared" si="2"/>
        <v>23.375</v>
      </c>
    </row>
    <row r="21" spans="1:22" ht="12">
      <c r="A21" s="192"/>
      <c r="B21" s="144" t="s">
        <v>115</v>
      </c>
      <c r="C21" s="123">
        <v>16</v>
      </c>
      <c r="D21" s="123">
        <v>377</v>
      </c>
      <c r="E21" s="153">
        <v>185</v>
      </c>
      <c r="F21" s="153">
        <v>5</v>
      </c>
      <c r="G21" s="153">
        <v>110</v>
      </c>
      <c r="H21" s="79">
        <f t="shared" si="1"/>
        <v>23.5625</v>
      </c>
      <c r="J21" s="123"/>
      <c r="K21" s="123"/>
      <c r="L21" s="153"/>
      <c r="M21" s="153"/>
      <c r="N21" s="153"/>
      <c r="O21" s="79"/>
      <c r="Q21" s="123">
        <f t="shared" si="0"/>
        <v>16</v>
      </c>
      <c r="R21" s="123">
        <f t="shared" si="0"/>
        <v>377</v>
      </c>
      <c r="S21" s="153">
        <f t="shared" si="0"/>
        <v>185</v>
      </c>
      <c r="T21" s="153">
        <f t="shared" si="0"/>
        <v>5</v>
      </c>
      <c r="U21" s="153">
        <f t="shared" si="0"/>
        <v>110</v>
      </c>
      <c r="V21" s="79">
        <f t="shared" si="2"/>
        <v>23.5625</v>
      </c>
    </row>
    <row r="22" spans="1:22" ht="12">
      <c r="A22" s="189" t="s">
        <v>116</v>
      </c>
      <c r="B22" s="189"/>
      <c r="C22" s="75">
        <f>C23+C24</f>
        <v>27</v>
      </c>
      <c r="D22" s="75">
        <f>D23+D24</f>
        <v>661</v>
      </c>
      <c r="E22" s="80">
        <f>E23+E24</f>
        <v>323</v>
      </c>
      <c r="F22" s="80">
        <f>F23+F24</f>
        <v>33</v>
      </c>
      <c r="G22" s="80">
        <f>G23+G24</f>
        <v>198</v>
      </c>
      <c r="H22" s="74">
        <f t="shared" si="1"/>
        <v>24.48148148148148</v>
      </c>
      <c r="J22" s="75">
        <f>J23+J24</f>
        <v>26</v>
      </c>
      <c r="K22" s="75">
        <f>K23+K24</f>
        <v>563</v>
      </c>
      <c r="L22" s="80">
        <f>L23+L24</f>
        <v>263</v>
      </c>
      <c r="M22" s="80">
        <f>M23+M24</f>
        <v>20</v>
      </c>
      <c r="N22" s="80">
        <f>N23+N24</f>
        <v>308</v>
      </c>
      <c r="O22" s="74">
        <f t="shared" si="3"/>
        <v>21.653846153846153</v>
      </c>
      <c r="Q22" s="75">
        <f t="shared" si="0"/>
        <v>53</v>
      </c>
      <c r="R22" s="75">
        <f t="shared" si="0"/>
        <v>1224</v>
      </c>
      <c r="S22" s="80">
        <f t="shared" si="0"/>
        <v>586</v>
      </c>
      <c r="T22" s="80">
        <f t="shared" si="0"/>
        <v>53</v>
      </c>
      <c r="U22" s="80">
        <f t="shared" si="0"/>
        <v>506</v>
      </c>
      <c r="V22" s="74">
        <f t="shared" si="2"/>
        <v>23.09433962264151</v>
      </c>
    </row>
    <row r="23" spans="1:22" ht="12">
      <c r="A23" s="193"/>
      <c r="B23" s="144" t="s">
        <v>117</v>
      </c>
      <c r="C23" s="123">
        <v>16</v>
      </c>
      <c r="D23" s="123">
        <v>392</v>
      </c>
      <c r="E23" s="153">
        <v>195</v>
      </c>
      <c r="F23" s="153">
        <v>20</v>
      </c>
      <c r="G23" s="153">
        <v>146</v>
      </c>
      <c r="H23" s="79">
        <f t="shared" si="1"/>
        <v>24.5</v>
      </c>
      <c r="J23" s="123">
        <v>12</v>
      </c>
      <c r="K23" s="123">
        <v>265</v>
      </c>
      <c r="L23" s="153">
        <v>124</v>
      </c>
      <c r="M23" s="153">
        <v>10</v>
      </c>
      <c r="N23" s="153">
        <v>151</v>
      </c>
      <c r="O23" s="79">
        <f t="shared" si="3"/>
        <v>22.083333333333332</v>
      </c>
      <c r="Q23" s="123">
        <f t="shared" si="0"/>
        <v>28</v>
      </c>
      <c r="R23" s="123">
        <f t="shared" si="0"/>
        <v>657</v>
      </c>
      <c r="S23" s="153">
        <f t="shared" si="0"/>
        <v>319</v>
      </c>
      <c r="T23" s="153">
        <f t="shared" si="0"/>
        <v>30</v>
      </c>
      <c r="U23" s="153">
        <f t="shared" si="0"/>
        <v>297</v>
      </c>
      <c r="V23" s="79">
        <f t="shared" si="2"/>
        <v>23.464285714285715</v>
      </c>
    </row>
    <row r="24" spans="1:22" ht="12">
      <c r="A24" s="193"/>
      <c r="B24" s="144" t="s">
        <v>118</v>
      </c>
      <c r="C24" s="123">
        <v>11</v>
      </c>
      <c r="D24" s="123">
        <v>269</v>
      </c>
      <c r="E24" s="153">
        <v>128</v>
      </c>
      <c r="F24" s="153">
        <v>13</v>
      </c>
      <c r="G24" s="153">
        <v>52</v>
      </c>
      <c r="H24" s="79">
        <f t="shared" si="1"/>
        <v>24.454545454545453</v>
      </c>
      <c r="J24" s="123">
        <v>14</v>
      </c>
      <c r="K24" s="123">
        <v>298</v>
      </c>
      <c r="L24" s="153">
        <v>139</v>
      </c>
      <c r="M24" s="153">
        <v>10</v>
      </c>
      <c r="N24" s="153">
        <v>157</v>
      </c>
      <c r="O24" s="79">
        <f t="shared" si="3"/>
        <v>21.285714285714285</v>
      </c>
      <c r="Q24" s="123">
        <f t="shared" si="0"/>
        <v>25</v>
      </c>
      <c r="R24" s="123">
        <f t="shared" si="0"/>
        <v>567</v>
      </c>
      <c r="S24" s="153">
        <f t="shared" si="0"/>
        <v>267</v>
      </c>
      <c r="T24" s="153">
        <f t="shared" si="0"/>
        <v>23</v>
      </c>
      <c r="U24" s="153">
        <f t="shared" si="0"/>
        <v>209</v>
      </c>
      <c r="V24" s="79">
        <f t="shared" si="2"/>
        <v>22.68</v>
      </c>
    </row>
    <row r="25" spans="1:22" ht="12">
      <c r="A25" s="191" t="s">
        <v>37</v>
      </c>
      <c r="B25" s="191"/>
      <c r="C25" s="75">
        <f>C26+C27+C28+C29</f>
        <v>41</v>
      </c>
      <c r="D25" s="75">
        <f>D26+D27+D28+D29</f>
        <v>960</v>
      </c>
      <c r="E25" s="80">
        <f>E26+E27+E28+E29</f>
        <v>438</v>
      </c>
      <c r="F25" s="80">
        <f>F26+F27+F28+F29</f>
        <v>36</v>
      </c>
      <c r="G25" s="80">
        <f>G26+G27+G28+G29</f>
        <v>117</v>
      </c>
      <c r="H25" s="74">
        <f t="shared" si="1"/>
        <v>23.414634146341463</v>
      </c>
      <c r="J25" s="75">
        <f>J26+J27+J28+J29</f>
        <v>5</v>
      </c>
      <c r="K25" s="75">
        <f>K26+K27+K28+K29</f>
        <v>124</v>
      </c>
      <c r="L25" s="80">
        <f>L26+L27+L28+L29</f>
        <v>59</v>
      </c>
      <c r="M25" s="80">
        <f>M26+M27+M28+M29</f>
        <v>2</v>
      </c>
      <c r="N25" s="80">
        <f>N26+N27+N28+N29</f>
        <v>16</v>
      </c>
      <c r="O25" s="74">
        <f t="shared" si="3"/>
        <v>24.8</v>
      </c>
      <c r="Q25" s="75">
        <f t="shared" si="0"/>
        <v>46</v>
      </c>
      <c r="R25" s="75">
        <f t="shared" si="0"/>
        <v>1084</v>
      </c>
      <c r="S25" s="80">
        <f t="shared" si="0"/>
        <v>497</v>
      </c>
      <c r="T25" s="80">
        <f t="shared" si="0"/>
        <v>38</v>
      </c>
      <c r="U25" s="80">
        <f t="shared" si="0"/>
        <v>133</v>
      </c>
      <c r="V25" s="74">
        <f t="shared" si="2"/>
        <v>23.565217391304348</v>
      </c>
    </row>
    <row r="26" spans="1:22" ht="12">
      <c r="A26" s="193"/>
      <c r="B26" s="144" t="s">
        <v>119</v>
      </c>
      <c r="C26" s="123">
        <v>7</v>
      </c>
      <c r="D26" s="123">
        <v>140</v>
      </c>
      <c r="E26" s="153">
        <v>64</v>
      </c>
      <c r="F26" s="153">
        <v>7</v>
      </c>
      <c r="G26" s="153">
        <v>11</v>
      </c>
      <c r="H26" s="79">
        <f t="shared" si="1"/>
        <v>20</v>
      </c>
      <c r="J26" s="123"/>
      <c r="K26" s="123"/>
      <c r="L26" s="153"/>
      <c r="M26" s="153"/>
      <c r="N26" s="153"/>
      <c r="O26" s="79"/>
      <c r="Q26" s="123">
        <f t="shared" si="0"/>
        <v>7</v>
      </c>
      <c r="R26" s="123">
        <f t="shared" si="0"/>
        <v>140</v>
      </c>
      <c r="S26" s="153">
        <f t="shared" si="0"/>
        <v>64</v>
      </c>
      <c r="T26" s="153">
        <f t="shared" si="0"/>
        <v>7</v>
      </c>
      <c r="U26" s="153">
        <f t="shared" si="0"/>
        <v>11</v>
      </c>
      <c r="V26" s="79">
        <f t="shared" si="2"/>
        <v>20</v>
      </c>
    </row>
    <row r="27" spans="1:22" ht="12">
      <c r="A27" s="193"/>
      <c r="B27" s="144" t="s">
        <v>120</v>
      </c>
      <c r="C27" s="123">
        <v>9</v>
      </c>
      <c r="D27" s="123">
        <v>218</v>
      </c>
      <c r="E27" s="153">
        <v>106</v>
      </c>
      <c r="F27" s="153">
        <v>4</v>
      </c>
      <c r="G27" s="153">
        <v>21</v>
      </c>
      <c r="H27" s="79">
        <f t="shared" si="1"/>
        <v>24.22222222222222</v>
      </c>
      <c r="J27" s="123"/>
      <c r="K27" s="123"/>
      <c r="L27" s="153"/>
      <c r="M27" s="153"/>
      <c r="N27" s="153"/>
      <c r="O27" s="79"/>
      <c r="Q27" s="123">
        <f t="shared" si="0"/>
        <v>9</v>
      </c>
      <c r="R27" s="123">
        <f t="shared" si="0"/>
        <v>218</v>
      </c>
      <c r="S27" s="153">
        <f t="shared" si="0"/>
        <v>106</v>
      </c>
      <c r="T27" s="153">
        <f t="shared" si="0"/>
        <v>4</v>
      </c>
      <c r="U27" s="153">
        <f t="shared" si="0"/>
        <v>21</v>
      </c>
      <c r="V27" s="79">
        <f t="shared" si="2"/>
        <v>24.22222222222222</v>
      </c>
    </row>
    <row r="28" spans="1:22" ht="12">
      <c r="A28" s="192"/>
      <c r="B28" s="144" t="s">
        <v>121</v>
      </c>
      <c r="C28" s="123">
        <v>9</v>
      </c>
      <c r="D28" s="123">
        <v>222</v>
      </c>
      <c r="E28" s="153">
        <v>103</v>
      </c>
      <c r="F28" s="153">
        <v>13</v>
      </c>
      <c r="G28" s="153">
        <v>33</v>
      </c>
      <c r="H28" s="79">
        <f t="shared" si="1"/>
        <v>24.666666666666668</v>
      </c>
      <c r="J28" s="123"/>
      <c r="K28" s="123"/>
      <c r="L28" s="153"/>
      <c r="M28" s="153"/>
      <c r="N28" s="153"/>
      <c r="O28" s="79"/>
      <c r="Q28" s="123">
        <f t="shared" si="0"/>
        <v>9</v>
      </c>
      <c r="R28" s="123">
        <f t="shared" si="0"/>
        <v>222</v>
      </c>
      <c r="S28" s="153">
        <f t="shared" si="0"/>
        <v>103</v>
      </c>
      <c r="T28" s="153">
        <f t="shared" si="0"/>
        <v>13</v>
      </c>
      <c r="U28" s="153">
        <f t="shared" si="0"/>
        <v>33</v>
      </c>
      <c r="V28" s="79">
        <f t="shared" si="2"/>
        <v>24.666666666666668</v>
      </c>
    </row>
    <row r="29" spans="1:22" ht="12">
      <c r="A29" s="193"/>
      <c r="B29" s="144" t="s">
        <v>122</v>
      </c>
      <c r="C29" s="123">
        <v>16</v>
      </c>
      <c r="D29" s="123">
        <v>380</v>
      </c>
      <c r="E29" s="153">
        <v>165</v>
      </c>
      <c r="F29" s="153">
        <v>12</v>
      </c>
      <c r="G29" s="153">
        <v>52</v>
      </c>
      <c r="H29" s="79">
        <f t="shared" si="1"/>
        <v>23.75</v>
      </c>
      <c r="J29" s="123">
        <v>5</v>
      </c>
      <c r="K29" s="123">
        <v>124</v>
      </c>
      <c r="L29" s="153">
        <v>59</v>
      </c>
      <c r="M29" s="153">
        <v>2</v>
      </c>
      <c r="N29" s="153">
        <v>16</v>
      </c>
      <c r="O29" s="79">
        <f t="shared" si="3"/>
        <v>24.8</v>
      </c>
      <c r="Q29" s="123">
        <f t="shared" si="0"/>
        <v>21</v>
      </c>
      <c r="R29" s="123">
        <f t="shared" si="0"/>
        <v>504</v>
      </c>
      <c r="S29" s="153">
        <f t="shared" si="0"/>
        <v>224</v>
      </c>
      <c r="T29" s="153">
        <f t="shared" si="0"/>
        <v>14</v>
      </c>
      <c r="U29" s="153">
        <f t="shared" si="0"/>
        <v>68</v>
      </c>
      <c r="V29" s="79">
        <f t="shared" si="2"/>
        <v>24</v>
      </c>
    </row>
    <row r="30" spans="1:22" ht="12">
      <c r="A30" s="191" t="s">
        <v>17</v>
      </c>
      <c r="B30" s="191"/>
      <c r="C30" s="75">
        <f>C31+C32</f>
        <v>27</v>
      </c>
      <c r="D30" s="75">
        <f>D31+D32</f>
        <v>687</v>
      </c>
      <c r="E30" s="80">
        <f>E31+E32</f>
        <v>309</v>
      </c>
      <c r="F30" s="80">
        <f>F31+F32</f>
        <v>29</v>
      </c>
      <c r="G30" s="80">
        <f>G31+G32</f>
        <v>155</v>
      </c>
      <c r="H30" s="74">
        <f t="shared" si="1"/>
        <v>25.444444444444443</v>
      </c>
      <c r="J30" s="75">
        <f>J31+J32</f>
        <v>17</v>
      </c>
      <c r="K30" s="75">
        <f>K31+K32</f>
        <v>408</v>
      </c>
      <c r="L30" s="80">
        <f>L31+L32</f>
        <v>207</v>
      </c>
      <c r="M30" s="80">
        <f>M31+M32</f>
        <v>6</v>
      </c>
      <c r="N30" s="80">
        <f>N31+N32</f>
        <v>152</v>
      </c>
      <c r="O30" s="74">
        <f t="shared" si="3"/>
        <v>24</v>
      </c>
      <c r="Q30" s="75">
        <f t="shared" si="0"/>
        <v>44</v>
      </c>
      <c r="R30" s="75">
        <f t="shared" si="0"/>
        <v>1095</v>
      </c>
      <c r="S30" s="80">
        <f t="shared" si="0"/>
        <v>516</v>
      </c>
      <c r="T30" s="80">
        <f t="shared" si="0"/>
        <v>35</v>
      </c>
      <c r="U30" s="80">
        <f t="shared" si="0"/>
        <v>307</v>
      </c>
      <c r="V30" s="74">
        <f t="shared" si="2"/>
        <v>24.886363636363637</v>
      </c>
    </row>
    <row r="31" spans="1:22" ht="12">
      <c r="A31" s="192"/>
      <c r="B31" s="144" t="s">
        <v>123</v>
      </c>
      <c r="C31" s="123">
        <v>19</v>
      </c>
      <c r="D31" s="123">
        <v>483</v>
      </c>
      <c r="E31" s="153">
        <v>217</v>
      </c>
      <c r="F31" s="153">
        <v>19</v>
      </c>
      <c r="G31" s="153">
        <v>120</v>
      </c>
      <c r="H31" s="79">
        <f t="shared" si="1"/>
        <v>25.42105263157895</v>
      </c>
      <c r="J31" s="123">
        <v>11</v>
      </c>
      <c r="K31" s="123">
        <v>268</v>
      </c>
      <c r="L31" s="153">
        <v>134</v>
      </c>
      <c r="M31" s="153"/>
      <c r="N31" s="153">
        <v>100</v>
      </c>
      <c r="O31" s="79">
        <f t="shared" si="3"/>
        <v>24.363636363636363</v>
      </c>
      <c r="Q31" s="123">
        <f t="shared" si="0"/>
        <v>30</v>
      </c>
      <c r="R31" s="123">
        <f t="shared" si="0"/>
        <v>751</v>
      </c>
      <c r="S31" s="153">
        <f t="shared" si="0"/>
        <v>351</v>
      </c>
      <c r="T31" s="153">
        <f t="shared" si="0"/>
        <v>19</v>
      </c>
      <c r="U31" s="153">
        <f t="shared" si="0"/>
        <v>220</v>
      </c>
      <c r="V31" s="79">
        <f t="shared" si="2"/>
        <v>25.033333333333335</v>
      </c>
    </row>
    <row r="32" spans="1:22" ht="12">
      <c r="A32" s="193"/>
      <c r="B32" s="144" t="s">
        <v>124</v>
      </c>
      <c r="C32" s="123">
        <v>8</v>
      </c>
      <c r="D32" s="123">
        <v>204</v>
      </c>
      <c r="E32" s="153">
        <v>92</v>
      </c>
      <c r="F32" s="153">
        <v>10</v>
      </c>
      <c r="G32" s="153">
        <v>35</v>
      </c>
      <c r="H32" s="79">
        <f t="shared" si="1"/>
        <v>25.5</v>
      </c>
      <c r="J32" s="123">
        <v>6</v>
      </c>
      <c r="K32" s="123">
        <v>140</v>
      </c>
      <c r="L32" s="153">
        <v>73</v>
      </c>
      <c r="M32" s="153">
        <v>6</v>
      </c>
      <c r="N32" s="153">
        <v>52</v>
      </c>
      <c r="O32" s="79">
        <f t="shared" si="3"/>
        <v>23.333333333333332</v>
      </c>
      <c r="Q32" s="123">
        <f t="shared" si="0"/>
        <v>14</v>
      </c>
      <c r="R32" s="123">
        <f t="shared" si="0"/>
        <v>344</v>
      </c>
      <c r="S32" s="153">
        <f t="shared" si="0"/>
        <v>165</v>
      </c>
      <c r="T32" s="153">
        <f t="shared" si="0"/>
        <v>16</v>
      </c>
      <c r="U32" s="153">
        <f t="shared" si="0"/>
        <v>87</v>
      </c>
      <c r="V32" s="79">
        <f t="shared" si="2"/>
        <v>24.571428571428573</v>
      </c>
    </row>
    <row r="33" spans="1:22" ht="12">
      <c r="A33" s="194" t="s">
        <v>125</v>
      </c>
      <c r="B33" s="194"/>
      <c r="C33" s="80">
        <f>+C19+C28+C27+C20</f>
        <v>27</v>
      </c>
      <c r="D33" s="80">
        <f>+D19+D28+D27+D20</f>
        <v>666</v>
      </c>
      <c r="E33" s="80">
        <f>+E19+E28+E27+E20</f>
        <v>319</v>
      </c>
      <c r="F33" s="80">
        <f>+F19+F28+F27+F20</f>
        <v>26</v>
      </c>
      <c r="G33" s="80">
        <f>+G19+G28+G27+G20</f>
        <v>97</v>
      </c>
      <c r="H33" s="195">
        <f t="shared" si="1"/>
        <v>24.666666666666668</v>
      </c>
      <c r="J33" s="80">
        <f>+J19+J28+J27+J20</f>
        <v>8</v>
      </c>
      <c r="K33" s="80">
        <f>+K19+K28+K27+K20</f>
        <v>183</v>
      </c>
      <c r="L33" s="80">
        <f>+L19+L28+L27+L20</f>
        <v>97</v>
      </c>
      <c r="M33" s="80">
        <f>+M19+M28+M27+M20</f>
        <v>5</v>
      </c>
      <c r="N33" s="80">
        <f>+N19+N28+N27+N20</f>
        <v>72</v>
      </c>
      <c r="O33" s="195">
        <f t="shared" si="3"/>
        <v>22.875</v>
      </c>
      <c r="Q33" s="80">
        <f t="shared" si="0"/>
        <v>35</v>
      </c>
      <c r="R33" s="80">
        <f t="shared" si="0"/>
        <v>849</v>
      </c>
      <c r="S33" s="80">
        <f t="shared" si="0"/>
        <v>416</v>
      </c>
      <c r="T33" s="80">
        <f t="shared" si="0"/>
        <v>31</v>
      </c>
      <c r="U33" s="80">
        <f t="shared" si="0"/>
        <v>169</v>
      </c>
      <c r="V33" s="195">
        <f t="shared" si="2"/>
        <v>24.257142857142856</v>
      </c>
    </row>
    <row r="34" spans="1:22" ht="12">
      <c r="A34" s="194" t="s">
        <v>126</v>
      </c>
      <c r="B34" s="194"/>
      <c r="C34" s="80">
        <f>+C10+C11+C12+C14+C15+C16+C18+C21+C23+C24+C26+C29+C31+C32</f>
        <v>189</v>
      </c>
      <c r="D34" s="80">
        <f>+D10+D11+D12+D14+D15+D16+D18+D21+D23+D24+D26+D29+D31+D32</f>
        <v>4634</v>
      </c>
      <c r="E34" s="80">
        <f>+E10+E11+E12+E14+E15+E16+E18+E21+E23+E24+E26+E29+E31+E32</f>
        <v>2237</v>
      </c>
      <c r="F34" s="80">
        <f>+F10+F11+F12+F14+F15+F16+F18+F21+F23+F24+F26+F29+F31+F32</f>
        <v>191</v>
      </c>
      <c r="G34" s="80">
        <f>+G10+G11+G12+G14+G15+G16+G18+G21+G23+G24+G26+G29+G31+G32</f>
        <v>1308</v>
      </c>
      <c r="H34" s="195">
        <f t="shared" si="1"/>
        <v>24.51851851851852</v>
      </c>
      <c r="J34" s="80">
        <f>+J10+J11+J12+J14+J15+J16+J18+J21+J23+J24+J26+J29+J31+J32</f>
        <v>72</v>
      </c>
      <c r="K34" s="80">
        <f>+K10+K11+K12+K14+K15+K16+K18+K21+K23+K24+K26+K29+K31+K32</f>
        <v>1658</v>
      </c>
      <c r="L34" s="80">
        <f>+L10+L11+L12+L14+L15+L16+L18+L21+L23+L24+L26+L29+L31+L32</f>
        <v>824</v>
      </c>
      <c r="M34" s="80">
        <f>+M10+M11+M12+M14+M15+M16+M18+M21+M23+M24+M26+M29+M31+M32</f>
        <v>42</v>
      </c>
      <c r="N34" s="80">
        <f>+N10+N11+N12+N14+N15+N16+N18+N21+N23+N24+N26+N29+N31+N32</f>
        <v>830</v>
      </c>
      <c r="O34" s="195">
        <f t="shared" si="3"/>
        <v>23.02777777777778</v>
      </c>
      <c r="Q34" s="80">
        <f t="shared" si="0"/>
        <v>261</v>
      </c>
      <c r="R34" s="80">
        <f t="shared" si="0"/>
        <v>6292</v>
      </c>
      <c r="S34" s="80">
        <f t="shared" si="0"/>
        <v>3061</v>
      </c>
      <c r="T34" s="80">
        <f t="shared" si="0"/>
        <v>233</v>
      </c>
      <c r="U34" s="80">
        <f t="shared" si="0"/>
        <v>2138</v>
      </c>
      <c r="V34" s="195">
        <f t="shared" si="2"/>
        <v>24.10727969348659</v>
      </c>
    </row>
    <row r="35" spans="1:22" ht="12">
      <c r="A35" s="196" t="s">
        <v>48</v>
      </c>
      <c r="B35" s="196"/>
      <c r="C35" s="171">
        <f>+C9+C13+C17+C22+C25+C30</f>
        <v>216</v>
      </c>
      <c r="D35" s="171">
        <f>+D9+D13+D17+D22+D25+D30</f>
        <v>5300</v>
      </c>
      <c r="E35" s="93">
        <f>+E9+E13+E17+E22+E25+E30</f>
        <v>2556</v>
      </c>
      <c r="F35" s="93">
        <f>+F9+F13+F17+F22+F25+F30</f>
        <v>217</v>
      </c>
      <c r="G35" s="93">
        <f>+G9+G13+G17+G22+G25+G30</f>
        <v>1405</v>
      </c>
      <c r="H35" s="94">
        <f t="shared" si="1"/>
        <v>24.537037037037038</v>
      </c>
      <c r="J35" s="171">
        <f>+J9+J13+J17+J22+J25+J30</f>
        <v>80</v>
      </c>
      <c r="K35" s="171">
        <f>+K9+K13+K17+K22+K25+K30</f>
        <v>1841</v>
      </c>
      <c r="L35" s="93">
        <f>+L9+L13+L17+L22+L25+L30</f>
        <v>921</v>
      </c>
      <c r="M35" s="93">
        <f>+M9+M13+M17+M22+M25+M30</f>
        <v>47</v>
      </c>
      <c r="N35" s="93">
        <f>+N9+N13+N17+N22+N25+N30</f>
        <v>902</v>
      </c>
      <c r="O35" s="94">
        <f t="shared" si="3"/>
        <v>23.0125</v>
      </c>
      <c r="Q35" s="171">
        <f t="shared" si="0"/>
        <v>296</v>
      </c>
      <c r="R35" s="171">
        <f t="shared" si="0"/>
        <v>7141</v>
      </c>
      <c r="S35" s="93">
        <f t="shared" si="0"/>
        <v>3477</v>
      </c>
      <c r="T35" s="93">
        <f t="shared" si="0"/>
        <v>264</v>
      </c>
      <c r="U35" s="93">
        <f t="shared" si="0"/>
        <v>2307</v>
      </c>
      <c r="V35" s="94">
        <f>R35/Q35</f>
        <v>24.125</v>
      </c>
    </row>
    <row r="36" spans="1:22" ht="12">
      <c r="A36" s="97" t="s">
        <v>141</v>
      </c>
      <c r="B36" s="106"/>
      <c r="C36" s="107"/>
      <c r="D36" s="106"/>
      <c r="E36" s="106"/>
      <c r="F36" s="106"/>
      <c r="G36" s="106"/>
      <c r="H36" s="107"/>
      <c r="I36" s="107"/>
      <c r="J36" s="108"/>
      <c r="K36" s="108"/>
      <c r="L36" s="197"/>
      <c r="M36" s="108"/>
      <c r="N36" s="109"/>
      <c r="O36" s="109"/>
      <c r="P36" s="106"/>
      <c r="Q36" s="106"/>
      <c r="T36" s="106"/>
      <c r="U36" s="106"/>
      <c r="V36" s="106"/>
    </row>
    <row r="37" spans="1:22" ht="12">
      <c r="A37" s="97" t="s">
        <v>59</v>
      </c>
      <c r="B37" s="106"/>
      <c r="C37" s="107"/>
      <c r="D37" s="106"/>
      <c r="E37" s="106"/>
      <c r="F37" s="106"/>
      <c r="G37" s="106"/>
      <c r="H37" s="107"/>
      <c r="I37" s="107"/>
      <c r="J37" s="108"/>
      <c r="K37" s="108"/>
      <c r="L37" s="197"/>
      <c r="M37" s="108"/>
      <c r="N37" s="109"/>
      <c r="O37" s="109"/>
      <c r="P37" s="106"/>
      <c r="Q37" s="106"/>
      <c r="R37" s="106"/>
      <c r="S37" s="106"/>
      <c r="T37" s="106"/>
      <c r="U37" s="106"/>
      <c r="V37" s="106"/>
    </row>
    <row r="38" spans="1:22" ht="12">
      <c r="A38" s="105" t="s">
        <v>60</v>
      </c>
      <c r="B38" s="106"/>
      <c r="C38" s="107"/>
      <c r="D38" s="106"/>
      <c r="E38" s="106"/>
      <c r="F38" s="106"/>
      <c r="G38" s="106"/>
      <c r="H38" s="107"/>
      <c r="I38" s="107"/>
      <c r="J38" s="108"/>
      <c r="K38" s="108"/>
      <c r="L38" s="108"/>
      <c r="M38" s="108"/>
      <c r="N38" s="109"/>
      <c r="O38" s="109"/>
      <c r="P38" s="106"/>
      <c r="Q38" s="106"/>
      <c r="R38" s="106"/>
      <c r="S38" s="106"/>
      <c r="T38" s="106"/>
      <c r="U38" s="106"/>
      <c r="V38" s="106"/>
    </row>
    <row r="39" spans="1:22" ht="12">
      <c r="A39" s="105" t="s">
        <v>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6"/>
      <c r="Q39" s="106"/>
      <c r="R39" s="106"/>
      <c r="S39" s="106"/>
      <c r="T39" s="106"/>
      <c r="U39" s="106"/>
      <c r="V39" s="106"/>
    </row>
    <row r="40" spans="1:22" ht="12">
      <c r="A40" s="97" t="s">
        <v>85</v>
      </c>
      <c r="B40" s="106"/>
      <c r="C40" s="107"/>
      <c r="D40" s="107"/>
      <c r="E40" s="106"/>
      <c r="F40" s="106"/>
      <c r="G40" s="106"/>
      <c r="H40" s="107"/>
      <c r="I40" s="108"/>
      <c r="J40" s="108"/>
      <c r="K40" s="108"/>
      <c r="L40" s="109"/>
      <c r="M40" s="106"/>
      <c r="N40" s="106"/>
      <c r="O40" s="106"/>
      <c r="P40" s="106"/>
      <c r="Q40" s="106"/>
      <c r="R40" s="106"/>
      <c r="S40" s="106"/>
      <c r="T40" s="144"/>
      <c r="U40" s="144"/>
      <c r="V40" s="144"/>
    </row>
    <row r="41" spans="1:19" ht="12">
      <c r="A41" s="97" t="s">
        <v>90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96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ht="12">
      <c r="A45" s="97" t="s">
        <v>101</v>
      </c>
    </row>
    <row r="46" ht="12">
      <c r="A46" s="109" t="s">
        <v>135</v>
      </c>
    </row>
    <row r="47" ht="12">
      <c r="A47" s="109" t="s">
        <v>136</v>
      </c>
    </row>
    <row r="48" ht="12">
      <c r="A48" s="109" t="s">
        <v>137</v>
      </c>
    </row>
    <row r="49" ht="12">
      <c r="A49" s="109" t="s">
        <v>138</v>
      </c>
    </row>
    <row r="50" ht="12">
      <c r="A50" s="109" t="s">
        <v>139</v>
      </c>
    </row>
    <row r="51" ht="12">
      <c r="A51" s="109"/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&amp;R400042.xls</oddHeader>
    <oddFooter>&amp;LComune di Bologna - Dipartimento Programmazione</oddFooter>
  </headerFooter>
  <ignoredErrors>
    <ignoredError sqref="C9:V35" unlockedFormula="1"/>
    <ignoredError sqref="O1 E8:U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">
      <selection activeCell="K14" sqref="K14"/>
    </sheetView>
  </sheetViews>
  <sheetFormatPr defaultColWidth="10.625" defaultRowHeight="12"/>
  <cols>
    <col min="1" max="1" width="15.25390625" style="21" customWidth="1"/>
    <col min="2" max="2" width="15.25390625" style="21" bestFit="1" customWidth="1"/>
    <col min="3" max="6" width="8.125" style="21" customWidth="1"/>
    <col min="7" max="7" width="7.875" style="21" bestFit="1" customWidth="1"/>
    <col min="8" max="8" width="9.125" style="21" customWidth="1"/>
    <col min="9" max="9" width="2.125" style="21" customWidth="1"/>
    <col min="10" max="12" width="8.125" style="21" customWidth="1"/>
    <col min="13" max="13" width="8.75390625" style="21" bestFit="1" customWidth="1"/>
    <col min="14" max="14" width="7.875" style="21" bestFit="1" customWidth="1"/>
    <col min="15" max="15" width="8.125" style="21" customWidth="1"/>
    <col min="16" max="16" width="2.25390625" style="21" customWidth="1"/>
    <col min="17" max="18" width="8.125" style="21" customWidth="1"/>
    <col min="19" max="19" width="7.125" style="21" customWidth="1"/>
    <col min="20" max="20" width="8.875" style="21" bestFit="1" customWidth="1"/>
    <col min="21" max="21" width="6.75390625" style="21" customWidth="1"/>
    <col min="22" max="22" width="9.25390625" style="21" bestFit="1" customWidth="1"/>
    <col min="23" max="23" width="0.6171875" style="2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130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49"/>
      <c r="U2" s="49"/>
      <c r="V2" s="49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53" t="s">
        <v>103</v>
      </c>
      <c r="C3" s="202" t="s">
        <v>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3"/>
      <c r="X3" s="23"/>
      <c r="Y3" s="23"/>
      <c r="Z3" s="23"/>
      <c r="AA3" s="23"/>
      <c r="AB3" s="23"/>
      <c r="AC3" s="23"/>
      <c r="AD3" s="23"/>
    </row>
    <row r="4" spans="1:30" ht="12">
      <c r="A4" s="187"/>
      <c r="B4" s="187"/>
      <c r="C4" s="203" t="s">
        <v>2</v>
      </c>
      <c r="D4" s="203"/>
      <c r="E4" s="203"/>
      <c r="F4" s="203"/>
      <c r="G4" s="203"/>
      <c r="H4" s="203"/>
      <c r="I4" s="115"/>
      <c r="J4" s="203" t="s">
        <v>3</v>
      </c>
      <c r="K4" s="203"/>
      <c r="L4" s="203"/>
      <c r="M4" s="203"/>
      <c r="N4" s="203"/>
      <c r="O4" s="203"/>
      <c r="P4" s="115"/>
      <c r="Q4" s="203" t="s">
        <v>20</v>
      </c>
      <c r="R4" s="203"/>
      <c r="S4" s="203"/>
      <c r="T4" s="203"/>
      <c r="U4" s="203"/>
      <c r="V4" s="203"/>
      <c r="W4" s="24"/>
      <c r="X4" s="24"/>
      <c r="Y4" s="24"/>
      <c r="Z4" s="24"/>
      <c r="AA4" s="23"/>
      <c r="AB4" s="23"/>
      <c r="AC4" s="23"/>
      <c r="AD4" s="24"/>
    </row>
    <row r="5" spans="1:29" ht="12">
      <c r="A5" s="187"/>
      <c r="B5" s="187"/>
      <c r="C5" s="57" t="s">
        <v>4</v>
      </c>
      <c r="D5" s="202" t="s">
        <v>5</v>
      </c>
      <c r="E5" s="202"/>
      <c r="F5" s="202"/>
      <c r="G5" s="202"/>
      <c r="H5" s="202"/>
      <c r="I5" s="112"/>
      <c r="J5" s="57" t="s">
        <v>4</v>
      </c>
      <c r="K5" s="204" t="s">
        <v>5</v>
      </c>
      <c r="L5" s="204"/>
      <c r="M5" s="204"/>
      <c r="N5" s="204"/>
      <c r="O5" s="204"/>
      <c r="P5" s="112"/>
      <c r="Q5" s="57" t="s">
        <v>4</v>
      </c>
      <c r="R5" s="204" t="s">
        <v>5</v>
      </c>
      <c r="S5" s="204"/>
      <c r="T5" s="204"/>
      <c r="U5" s="204"/>
      <c r="V5" s="204"/>
      <c r="AA5" s="24"/>
      <c r="AB5" s="24"/>
      <c r="AC5" s="24"/>
    </row>
    <row r="6" spans="1:22" ht="12">
      <c r="A6" s="187"/>
      <c r="B6" s="187"/>
      <c r="C6" s="58"/>
      <c r="D6" s="58" t="s">
        <v>6</v>
      </c>
      <c r="E6" s="59" t="s">
        <v>19</v>
      </c>
      <c r="F6" s="59" t="s">
        <v>19</v>
      </c>
      <c r="G6" s="59" t="s">
        <v>19</v>
      </c>
      <c r="H6" s="58" t="s">
        <v>22</v>
      </c>
      <c r="I6" s="58"/>
      <c r="J6" s="58"/>
      <c r="K6" s="58" t="s">
        <v>6</v>
      </c>
      <c r="L6" s="59" t="s">
        <v>19</v>
      </c>
      <c r="M6" s="59" t="s">
        <v>19</v>
      </c>
      <c r="N6" s="59" t="s">
        <v>19</v>
      </c>
      <c r="O6" s="58" t="s">
        <v>22</v>
      </c>
      <c r="P6" s="58"/>
      <c r="Q6" s="58"/>
      <c r="R6" s="58" t="s">
        <v>6</v>
      </c>
      <c r="S6" s="59" t="s">
        <v>19</v>
      </c>
      <c r="T6" s="59" t="s">
        <v>19</v>
      </c>
      <c r="U6" s="59" t="s">
        <v>19</v>
      </c>
      <c r="V6" s="58" t="s">
        <v>22</v>
      </c>
    </row>
    <row r="7" spans="1:22" ht="12">
      <c r="A7" s="187"/>
      <c r="B7" s="187"/>
      <c r="C7" s="58"/>
      <c r="D7" s="58"/>
      <c r="E7" s="59" t="s">
        <v>57</v>
      </c>
      <c r="F7" s="59" t="s">
        <v>27</v>
      </c>
      <c r="G7" s="59" t="s">
        <v>23</v>
      </c>
      <c r="H7" s="133" t="s">
        <v>24</v>
      </c>
      <c r="I7" s="58"/>
      <c r="J7" s="58"/>
      <c r="K7" s="58"/>
      <c r="L7" s="59" t="s">
        <v>57</v>
      </c>
      <c r="M7" s="59" t="s">
        <v>27</v>
      </c>
      <c r="N7" s="59" t="s">
        <v>23</v>
      </c>
      <c r="O7" s="133" t="s">
        <v>24</v>
      </c>
      <c r="P7" s="58"/>
      <c r="Q7" s="58"/>
      <c r="R7" s="58"/>
      <c r="S7" s="59" t="s">
        <v>57</v>
      </c>
      <c r="T7" s="59" t="s">
        <v>27</v>
      </c>
      <c r="U7" s="59" t="s">
        <v>23</v>
      </c>
      <c r="V7" s="133" t="s">
        <v>24</v>
      </c>
    </row>
    <row r="8" spans="1:22" ht="12">
      <c r="A8" s="188"/>
      <c r="B8" s="188"/>
      <c r="C8" s="64"/>
      <c r="D8" s="64"/>
      <c r="E8" s="65" t="s">
        <v>49</v>
      </c>
      <c r="F8" s="66" t="s">
        <v>28</v>
      </c>
      <c r="G8" s="65" t="s">
        <v>58</v>
      </c>
      <c r="H8" s="68"/>
      <c r="I8" s="68"/>
      <c r="J8" s="64"/>
      <c r="K8" s="64"/>
      <c r="L8" s="65" t="s">
        <v>49</v>
      </c>
      <c r="M8" s="66" t="s">
        <v>28</v>
      </c>
      <c r="N8" s="65" t="s">
        <v>58</v>
      </c>
      <c r="O8" s="68"/>
      <c r="P8" s="68"/>
      <c r="Q8" s="64"/>
      <c r="R8" s="64"/>
      <c r="S8" s="65" t="s">
        <v>49</v>
      </c>
      <c r="T8" s="66" t="s">
        <v>28</v>
      </c>
      <c r="U8" s="65" t="s">
        <v>58</v>
      </c>
      <c r="V8" s="68"/>
    </row>
    <row r="9" spans="1:22" ht="12">
      <c r="A9" s="189" t="s">
        <v>104</v>
      </c>
      <c r="B9" s="189"/>
      <c r="C9" s="75">
        <f>C10+C11+C12</f>
        <v>43</v>
      </c>
      <c r="D9" s="75">
        <f>D10+D11+D12</f>
        <v>1063</v>
      </c>
      <c r="E9" s="80">
        <f>E10+E11+E12</f>
        <v>548</v>
      </c>
      <c r="F9" s="80">
        <f>F10+F11+F12</f>
        <v>48</v>
      </c>
      <c r="G9" s="80">
        <f>G10+G11+G12</f>
        <v>365</v>
      </c>
      <c r="H9" s="74">
        <f>D9/C9</f>
        <v>24.72093023255814</v>
      </c>
      <c r="J9" s="75">
        <f>J10+J11+J12</f>
        <v>6</v>
      </c>
      <c r="K9" s="75">
        <f>K10+K11+K12</f>
        <v>149</v>
      </c>
      <c r="L9" s="80">
        <f>L10+L11+L12</f>
        <v>74</v>
      </c>
      <c r="M9" s="80">
        <f>M10+M11+M12</f>
        <v>1</v>
      </c>
      <c r="N9" s="80">
        <f>N10+N11+N12</f>
        <v>68</v>
      </c>
      <c r="O9" s="74">
        <f>K9/J9</f>
        <v>24.833333333333332</v>
      </c>
      <c r="Q9" s="75">
        <f aca="true" t="shared" si="0" ref="Q9:U35">J9+C9</f>
        <v>49</v>
      </c>
      <c r="R9" s="190">
        <f t="shared" si="0"/>
        <v>1212</v>
      </c>
      <c r="S9" s="80">
        <f t="shared" si="0"/>
        <v>622</v>
      </c>
      <c r="T9" s="164">
        <f t="shared" si="0"/>
        <v>49</v>
      </c>
      <c r="U9" s="164">
        <f>N9+G9</f>
        <v>433</v>
      </c>
      <c r="V9" s="74">
        <f>R9/Q9</f>
        <v>24.73469387755102</v>
      </c>
    </row>
    <row r="10" spans="1:22" ht="12">
      <c r="A10" s="144"/>
      <c r="B10" s="144" t="s">
        <v>105</v>
      </c>
      <c r="C10" s="123">
        <v>12</v>
      </c>
      <c r="D10" s="123">
        <v>301</v>
      </c>
      <c r="E10" s="153">
        <v>173</v>
      </c>
      <c r="F10" s="153">
        <v>11</v>
      </c>
      <c r="G10" s="153">
        <v>82</v>
      </c>
      <c r="H10" s="79">
        <f>D10/C10</f>
        <v>25.083333333333332</v>
      </c>
      <c r="J10" s="123">
        <v>4</v>
      </c>
      <c r="K10" s="123">
        <v>99</v>
      </c>
      <c r="L10" s="153">
        <v>49</v>
      </c>
      <c r="M10" s="153">
        <v>0</v>
      </c>
      <c r="N10" s="153">
        <v>47</v>
      </c>
      <c r="O10" s="79">
        <f>K10/J10</f>
        <v>24.75</v>
      </c>
      <c r="Q10" s="123">
        <f t="shared" si="0"/>
        <v>16</v>
      </c>
      <c r="R10" s="123">
        <f t="shared" si="0"/>
        <v>400</v>
      </c>
      <c r="S10" s="153">
        <f t="shared" si="0"/>
        <v>222</v>
      </c>
      <c r="T10" s="153">
        <f t="shared" si="0"/>
        <v>11</v>
      </c>
      <c r="U10" s="153">
        <f t="shared" si="0"/>
        <v>129</v>
      </c>
      <c r="V10" s="79">
        <f>R10/Q10</f>
        <v>25</v>
      </c>
    </row>
    <row r="11" spans="1:22" ht="12">
      <c r="A11" s="144"/>
      <c r="B11" s="144" t="s">
        <v>106</v>
      </c>
      <c r="C11" s="123">
        <v>21</v>
      </c>
      <c r="D11" s="123">
        <v>518</v>
      </c>
      <c r="E11" s="153">
        <v>242</v>
      </c>
      <c r="F11" s="153">
        <v>27</v>
      </c>
      <c r="G11" s="153">
        <v>197</v>
      </c>
      <c r="H11" s="79">
        <f aca="true" t="shared" si="1" ref="H11:H35">D11/C11</f>
        <v>24.666666666666668</v>
      </c>
      <c r="J11" s="123"/>
      <c r="K11" s="123"/>
      <c r="L11" s="153"/>
      <c r="M11" s="153"/>
      <c r="N11" s="153"/>
      <c r="O11" s="79"/>
      <c r="Q11" s="123">
        <f t="shared" si="0"/>
        <v>21</v>
      </c>
      <c r="R11" s="123">
        <f t="shared" si="0"/>
        <v>518</v>
      </c>
      <c r="S11" s="153">
        <f t="shared" si="0"/>
        <v>242</v>
      </c>
      <c r="T11" s="153">
        <f t="shared" si="0"/>
        <v>27</v>
      </c>
      <c r="U11" s="153">
        <f t="shared" si="0"/>
        <v>197</v>
      </c>
      <c r="V11" s="79">
        <f aca="true" t="shared" si="2" ref="V11:V34">R11/Q11</f>
        <v>24.666666666666668</v>
      </c>
    </row>
    <row r="12" spans="1:22" ht="12">
      <c r="A12" s="144"/>
      <c r="B12" s="144" t="s">
        <v>107</v>
      </c>
      <c r="C12" s="123">
        <v>10</v>
      </c>
      <c r="D12" s="123">
        <v>244</v>
      </c>
      <c r="E12" s="153">
        <v>133</v>
      </c>
      <c r="F12" s="153">
        <v>10</v>
      </c>
      <c r="G12" s="153">
        <v>86</v>
      </c>
      <c r="H12" s="79">
        <f t="shared" si="1"/>
        <v>24.4</v>
      </c>
      <c r="J12" s="123">
        <v>2</v>
      </c>
      <c r="K12" s="123">
        <v>50</v>
      </c>
      <c r="L12" s="153">
        <v>25</v>
      </c>
      <c r="M12" s="153">
        <v>1</v>
      </c>
      <c r="N12" s="153">
        <v>21</v>
      </c>
      <c r="O12" s="79">
        <f aca="true" t="shared" si="3" ref="O12:O35">K12/J12</f>
        <v>25</v>
      </c>
      <c r="Q12" s="123">
        <f t="shared" si="0"/>
        <v>12</v>
      </c>
      <c r="R12" s="123">
        <f t="shared" si="0"/>
        <v>294</v>
      </c>
      <c r="S12" s="153">
        <f t="shared" si="0"/>
        <v>158</v>
      </c>
      <c r="T12" s="153">
        <f t="shared" si="0"/>
        <v>11</v>
      </c>
      <c r="U12" s="153">
        <f t="shared" si="0"/>
        <v>107</v>
      </c>
      <c r="V12" s="79">
        <f t="shared" si="2"/>
        <v>24.5</v>
      </c>
    </row>
    <row r="13" spans="1:22" ht="12">
      <c r="A13" s="191" t="s">
        <v>10</v>
      </c>
      <c r="B13" s="191"/>
      <c r="C13" s="75">
        <f>C14+C15+C16</f>
        <v>34</v>
      </c>
      <c r="D13" s="75">
        <f>D14+D15+D16</f>
        <v>857</v>
      </c>
      <c r="E13" s="80">
        <f>E14+E15+E16</f>
        <v>416</v>
      </c>
      <c r="F13" s="80">
        <f>F14+F15+F16</f>
        <v>45</v>
      </c>
      <c r="G13" s="80">
        <f>G14+G15+G16</f>
        <v>331</v>
      </c>
      <c r="H13" s="74">
        <f t="shared" si="1"/>
        <v>25.205882352941178</v>
      </c>
      <c r="J13" s="75">
        <f>J14+J15+J16</f>
        <v>18</v>
      </c>
      <c r="K13" s="75">
        <f>K14+K15+K16</f>
        <v>422</v>
      </c>
      <c r="L13" s="80">
        <f>L14+L15+L16</f>
        <v>219</v>
      </c>
      <c r="M13" s="80">
        <f>M14+M15+M16</f>
        <v>13</v>
      </c>
      <c r="N13" s="80">
        <f>N14+N15+N16</f>
        <v>277</v>
      </c>
      <c r="O13" s="74">
        <f t="shared" si="3"/>
        <v>23.444444444444443</v>
      </c>
      <c r="Q13" s="75">
        <f t="shared" si="0"/>
        <v>52</v>
      </c>
      <c r="R13" s="75">
        <f t="shared" si="0"/>
        <v>1279</v>
      </c>
      <c r="S13" s="80">
        <f t="shared" si="0"/>
        <v>635</v>
      </c>
      <c r="T13" s="80">
        <f t="shared" si="0"/>
        <v>58</v>
      </c>
      <c r="U13" s="80">
        <f t="shared" si="0"/>
        <v>608</v>
      </c>
      <c r="V13" s="74">
        <f t="shared" si="2"/>
        <v>24.596153846153847</v>
      </c>
    </row>
    <row r="14" spans="1:22" ht="12">
      <c r="A14" s="192"/>
      <c r="B14" s="144" t="s">
        <v>108</v>
      </c>
      <c r="C14" s="123">
        <v>17</v>
      </c>
      <c r="D14" s="123">
        <v>429</v>
      </c>
      <c r="E14" s="153">
        <v>210</v>
      </c>
      <c r="F14" s="153">
        <v>31</v>
      </c>
      <c r="G14" s="153">
        <v>162</v>
      </c>
      <c r="H14" s="79">
        <f t="shared" si="1"/>
        <v>25.235294117647058</v>
      </c>
      <c r="J14" s="123">
        <v>10</v>
      </c>
      <c r="K14" s="123">
        <v>233</v>
      </c>
      <c r="L14" s="153">
        <v>115</v>
      </c>
      <c r="M14" s="153">
        <v>7</v>
      </c>
      <c r="N14" s="153">
        <v>170</v>
      </c>
      <c r="O14" s="79">
        <f t="shared" si="3"/>
        <v>23.3</v>
      </c>
      <c r="Q14" s="123">
        <f t="shared" si="0"/>
        <v>27</v>
      </c>
      <c r="R14" s="123">
        <f t="shared" si="0"/>
        <v>662</v>
      </c>
      <c r="S14" s="153">
        <f t="shared" si="0"/>
        <v>325</v>
      </c>
      <c r="T14" s="153">
        <f t="shared" si="0"/>
        <v>38</v>
      </c>
      <c r="U14" s="153">
        <f t="shared" si="0"/>
        <v>332</v>
      </c>
      <c r="V14" s="79">
        <f t="shared" si="2"/>
        <v>24.51851851851852</v>
      </c>
    </row>
    <row r="15" spans="1:22" ht="12">
      <c r="A15" s="193"/>
      <c r="B15" s="144" t="s">
        <v>109</v>
      </c>
      <c r="C15" s="123">
        <v>10</v>
      </c>
      <c r="D15" s="123">
        <v>258</v>
      </c>
      <c r="E15" s="153">
        <v>116</v>
      </c>
      <c r="F15" s="153">
        <v>4</v>
      </c>
      <c r="G15" s="153">
        <v>105</v>
      </c>
      <c r="H15" s="79">
        <f t="shared" si="1"/>
        <v>25.8</v>
      </c>
      <c r="J15" s="123">
        <v>4</v>
      </c>
      <c r="K15" s="123">
        <v>98</v>
      </c>
      <c r="L15" s="153">
        <v>51</v>
      </c>
      <c r="M15" s="153">
        <v>3</v>
      </c>
      <c r="N15" s="153">
        <v>46</v>
      </c>
      <c r="O15" s="79">
        <f t="shared" si="3"/>
        <v>24.5</v>
      </c>
      <c r="Q15" s="123">
        <f t="shared" si="0"/>
        <v>14</v>
      </c>
      <c r="R15" s="123">
        <f t="shared" si="0"/>
        <v>356</v>
      </c>
      <c r="S15" s="153">
        <f t="shared" si="0"/>
        <v>167</v>
      </c>
      <c r="T15" s="153">
        <f t="shared" si="0"/>
        <v>7</v>
      </c>
      <c r="U15" s="153">
        <f t="shared" si="0"/>
        <v>151</v>
      </c>
      <c r="V15" s="79">
        <f t="shared" si="2"/>
        <v>25.428571428571427</v>
      </c>
    </row>
    <row r="16" spans="1:22" ht="12">
      <c r="A16" s="193"/>
      <c r="B16" s="144" t="s">
        <v>110</v>
      </c>
      <c r="C16" s="123">
        <v>7</v>
      </c>
      <c r="D16" s="123">
        <v>170</v>
      </c>
      <c r="E16" s="153">
        <v>90</v>
      </c>
      <c r="F16" s="153">
        <v>10</v>
      </c>
      <c r="G16" s="153">
        <v>64</v>
      </c>
      <c r="H16" s="79">
        <f t="shared" si="1"/>
        <v>24.285714285714285</v>
      </c>
      <c r="J16" s="123">
        <v>4</v>
      </c>
      <c r="K16" s="123">
        <v>91</v>
      </c>
      <c r="L16" s="153">
        <v>53</v>
      </c>
      <c r="M16" s="153">
        <v>3</v>
      </c>
      <c r="N16" s="153">
        <v>61</v>
      </c>
      <c r="O16" s="79">
        <f t="shared" si="3"/>
        <v>22.75</v>
      </c>
      <c r="Q16" s="123">
        <f t="shared" si="0"/>
        <v>11</v>
      </c>
      <c r="R16" s="123">
        <f t="shared" si="0"/>
        <v>261</v>
      </c>
      <c r="S16" s="153">
        <f t="shared" si="0"/>
        <v>143</v>
      </c>
      <c r="T16" s="153">
        <f t="shared" si="0"/>
        <v>13</v>
      </c>
      <c r="U16" s="153">
        <f t="shared" si="0"/>
        <v>125</v>
      </c>
      <c r="V16" s="79">
        <f t="shared" si="2"/>
        <v>23.727272727272727</v>
      </c>
    </row>
    <row r="17" spans="1:22" ht="12">
      <c r="A17" s="191" t="s">
        <v>111</v>
      </c>
      <c r="B17" s="191"/>
      <c r="C17" s="75">
        <f>C18+C19+C20+C21</f>
        <v>44</v>
      </c>
      <c r="D17" s="75">
        <f>D18+D19+D20+D21</f>
        <v>1073</v>
      </c>
      <c r="E17" s="80">
        <f>E18+E19+E20+E21</f>
        <v>555</v>
      </c>
      <c r="F17" s="80">
        <f>F18+F19+F20+F21</f>
        <v>30</v>
      </c>
      <c r="G17" s="80">
        <f>G18+G19+G20+G21</f>
        <v>242</v>
      </c>
      <c r="H17" s="74">
        <f t="shared" si="1"/>
        <v>24.386363636363637</v>
      </c>
      <c r="J17" s="75">
        <f>J18+J19+J20+J21</f>
        <v>8</v>
      </c>
      <c r="K17" s="75">
        <f>K18+K19+K20+K21</f>
        <v>193</v>
      </c>
      <c r="L17" s="80">
        <f>L18+L19+L20+L21</f>
        <v>107</v>
      </c>
      <c r="M17" s="80">
        <f>M18+M19+M20+M21</f>
        <v>0</v>
      </c>
      <c r="N17" s="80">
        <f>N18+N19+N20+N21</f>
        <v>68</v>
      </c>
      <c r="O17" s="74">
        <f t="shared" si="3"/>
        <v>24.125</v>
      </c>
      <c r="Q17" s="75">
        <f t="shared" si="0"/>
        <v>52</v>
      </c>
      <c r="R17" s="75">
        <f t="shared" si="0"/>
        <v>1266</v>
      </c>
      <c r="S17" s="80">
        <f t="shared" si="0"/>
        <v>662</v>
      </c>
      <c r="T17" s="80">
        <f t="shared" si="0"/>
        <v>30</v>
      </c>
      <c r="U17" s="80">
        <f t="shared" si="0"/>
        <v>310</v>
      </c>
      <c r="V17" s="74">
        <f t="shared" si="2"/>
        <v>24.346153846153847</v>
      </c>
    </row>
    <row r="18" spans="1:22" ht="12">
      <c r="A18" s="193"/>
      <c r="B18" s="144" t="s">
        <v>112</v>
      </c>
      <c r="C18" s="123">
        <v>19</v>
      </c>
      <c r="D18" s="123">
        <v>462</v>
      </c>
      <c r="E18" s="153">
        <v>236</v>
      </c>
      <c r="F18" s="153">
        <v>12</v>
      </c>
      <c r="G18" s="153">
        <v>71</v>
      </c>
      <c r="H18" s="79">
        <f t="shared" si="1"/>
        <v>24.31578947368421</v>
      </c>
      <c r="J18" s="123"/>
      <c r="K18" s="123"/>
      <c r="L18" s="153"/>
      <c r="M18" s="153"/>
      <c r="N18" s="153"/>
      <c r="O18" s="79"/>
      <c r="Q18" s="123">
        <f t="shared" si="0"/>
        <v>19</v>
      </c>
      <c r="R18" s="123">
        <f t="shared" si="0"/>
        <v>462</v>
      </c>
      <c r="S18" s="153">
        <f t="shared" si="0"/>
        <v>236</v>
      </c>
      <c r="T18" s="153">
        <f t="shared" si="0"/>
        <v>12</v>
      </c>
      <c r="U18" s="153">
        <f t="shared" si="0"/>
        <v>71</v>
      </c>
      <c r="V18" s="79">
        <f t="shared" si="2"/>
        <v>24.31578947368421</v>
      </c>
    </row>
    <row r="19" spans="1:22" ht="12">
      <c r="A19" s="193"/>
      <c r="B19" s="144" t="s">
        <v>113</v>
      </c>
      <c r="C19" s="123">
        <v>7</v>
      </c>
      <c r="D19" s="123">
        <v>178</v>
      </c>
      <c r="E19" s="153">
        <v>78</v>
      </c>
      <c r="F19" s="153">
        <v>11</v>
      </c>
      <c r="G19" s="153">
        <v>36</v>
      </c>
      <c r="H19" s="79">
        <f t="shared" si="1"/>
        <v>25.428571428571427</v>
      </c>
      <c r="J19" s="123">
        <v>2</v>
      </c>
      <c r="K19" s="123">
        <v>48</v>
      </c>
      <c r="L19" s="153">
        <v>26</v>
      </c>
      <c r="M19" s="153">
        <v>0</v>
      </c>
      <c r="N19" s="153">
        <v>21</v>
      </c>
      <c r="O19" s="79">
        <f t="shared" si="3"/>
        <v>24</v>
      </c>
      <c r="Q19" s="123">
        <f t="shared" si="0"/>
        <v>9</v>
      </c>
      <c r="R19" s="123">
        <f t="shared" si="0"/>
        <v>226</v>
      </c>
      <c r="S19" s="153">
        <f t="shared" si="0"/>
        <v>104</v>
      </c>
      <c r="T19" s="153">
        <f t="shared" si="0"/>
        <v>11</v>
      </c>
      <c r="U19" s="153">
        <f t="shared" si="0"/>
        <v>57</v>
      </c>
      <c r="V19" s="79">
        <f t="shared" si="2"/>
        <v>25.11111111111111</v>
      </c>
    </row>
    <row r="20" spans="1:22" ht="12">
      <c r="A20" s="192"/>
      <c r="B20" s="144" t="s">
        <v>114</v>
      </c>
      <c r="C20" s="123">
        <v>2</v>
      </c>
      <c r="D20" s="123">
        <v>51</v>
      </c>
      <c r="E20" s="153">
        <v>29</v>
      </c>
      <c r="F20" s="153">
        <v>0</v>
      </c>
      <c r="G20" s="153">
        <v>15</v>
      </c>
      <c r="H20" s="79">
        <f t="shared" si="1"/>
        <v>25.5</v>
      </c>
      <c r="J20" s="123">
        <v>6</v>
      </c>
      <c r="K20" s="123">
        <v>145</v>
      </c>
      <c r="L20" s="153">
        <v>81</v>
      </c>
      <c r="M20" s="153">
        <v>0</v>
      </c>
      <c r="N20" s="153">
        <v>47</v>
      </c>
      <c r="O20" s="79">
        <f t="shared" si="3"/>
        <v>24.166666666666668</v>
      </c>
      <c r="Q20" s="123">
        <f t="shared" si="0"/>
        <v>8</v>
      </c>
      <c r="R20" s="123">
        <f t="shared" si="0"/>
        <v>196</v>
      </c>
      <c r="S20" s="153">
        <f t="shared" si="0"/>
        <v>110</v>
      </c>
      <c r="T20" s="153">
        <f t="shared" si="0"/>
        <v>0</v>
      </c>
      <c r="U20" s="153">
        <f t="shared" si="0"/>
        <v>62</v>
      </c>
      <c r="V20" s="79">
        <f t="shared" si="2"/>
        <v>24.5</v>
      </c>
    </row>
    <row r="21" spans="1:22" ht="12">
      <c r="A21" s="192"/>
      <c r="B21" s="144" t="s">
        <v>115</v>
      </c>
      <c r="C21" s="123">
        <v>16</v>
      </c>
      <c r="D21" s="123">
        <v>382</v>
      </c>
      <c r="E21" s="153">
        <v>212</v>
      </c>
      <c r="F21" s="153">
        <v>7</v>
      </c>
      <c r="G21" s="153">
        <v>120</v>
      </c>
      <c r="H21" s="79">
        <f t="shared" si="1"/>
        <v>23.875</v>
      </c>
      <c r="J21" s="123"/>
      <c r="K21" s="123"/>
      <c r="L21" s="153"/>
      <c r="M21" s="153"/>
      <c r="N21" s="153"/>
      <c r="O21" s="79"/>
      <c r="Q21" s="123">
        <f t="shared" si="0"/>
        <v>16</v>
      </c>
      <c r="R21" s="123">
        <f t="shared" si="0"/>
        <v>382</v>
      </c>
      <c r="S21" s="153">
        <f t="shared" si="0"/>
        <v>212</v>
      </c>
      <c r="T21" s="153">
        <f t="shared" si="0"/>
        <v>7</v>
      </c>
      <c r="U21" s="153">
        <f t="shared" si="0"/>
        <v>120</v>
      </c>
      <c r="V21" s="79">
        <f t="shared" si="2"/>
        <v>23.875</v>
      </c>
    </row>
    <row r="22" spans="1:22" ht="12">
      <c r="A22" s="189" t="s">
        <v>116</v>
      </c>
      <c r="B22" s="189"/>
      <c r="C22" s="75">
        <f>C23+C24</f>
        <v>27</v>
      </c>
      <c r="D22" s="75">
        <f>D23+D24</f>
        <v>662</v>
      </c>
      <c r="E22" s="80">
        <f>E23+E24</f>
        <v>331</v>
      </c>
      <c r="F22" s="80">
        <f>F23+F24</f>
        <v>37</v>
      </c>
      <c r="G22" s="80">
        <f>G23+G24</f>
        <v>171</v>
      </c>
      <c r="H22" s="74">
        <f t="shared" si="1"/>
        <v>24.51851851851852</v>
      </c>
      <c r="J22" s="75">
        <f>J23+J24</f>
        <v>26</v>
      </c>
      <c r="K22" s="75">
        <f>K23+K24</f>
        <v>577</v>
      </c>
      <c r="L22" s="80">
        <f>L23+L24</f>
        <v>277</v>
      </c>
      <c r="M22" s="80">
        <f>M23+M24</f>
        <v>24</v>
      </c>
      <c r="N22" s="80">
        <f>N23+N24</f>
        <v>324</v>
      </c>
      <c r="O22" s="74">
        <f t="shared" si="3"/>
        <v>22.192307692307693</v>
      </c>
      <c r="Q22" s="75">
        <f t="shared" si="0"/>
        <v>53</v>
      </c>
      <c r="R22" s="75">
        <f t="shared" si="0"/>
        <v>1239</v>
      </c>
      <c r="S22" s="80">
        <f t="shared" si="0"/>
        <v>608</v>
      </c>
      <c r="T22" s="80">
        <f t="shared" si="0"/>
        <v>61</v>
      </c>
      <c r="U22" s="80">
        <f t="shared" si="0"/>
        <v>495</v>
      </c>
      <c r="V22" s="74">
        <f t="shared" si="2"/>
        <v>23.37735849056604</v>
      </c>
    </row>
    <row r="23" spans="1:22" ht="12">
      <c r="A23" s="193"/>
      <c r="B23" s="144" t="s">
        <v>117</v>
      </c>
      <c r="C23" s="123">
        <v>16</v>
      </c>
      <c r="D23" s="123">
        <v>392</v>
      </c>
      <c r="E23" s="153">
        <v>182</v>
      </c>
      <c r="F23" s="153">
        <v>20</v>
      </c>
      <c r="G23" s="153">
        <v>133</v>
      </c>
      <c r="H23" s="79">
        <f t="shared" si="1"/>
        <v>24.5</v>
      </c>
      <c r="J23" s="123">
        <v>12</v>
      </c>
      <c r="K23" s="123">
        <v>273</v>
      </c>
      <c r="L23" s="153">
        <v>133</v>
      </c>
      <c r="M23" s="153">
        <v>9</v>
      </c>
      <c r="N23" s="153">
        <v>174</v>
      </c>
      <c r="O23" s="79">
        <f t="shared" si="3"/>
        <v>22.75</v>
      </c>
      <c r="Q23" s="123">
        <f t="shared" si="0"/>
        <v>28</v>
      </c>
      <c r="R23" s="123">
        <f t="shared" si="0"/>
        <v>665</v>
      </c>
      <c r="S23" s="153">
        <f t="shared" si="0"/>
        <v>315</v>
      </c>
      <c r="T23" s="153">
        <f t="shared" si="0"/>
        <v>29</v>
      </c>
      <c r="U23" s="153">
        <f t="shared" si="0"/>
        <v>307</v>
      </c>
      <c r="V23" s="79">
        <f t="shared" si="2"/>
        <v>23.75</v>
      </c>
    </row>
    <row r="24" spans="1:22" ht="12">
      <c r="A24" s="193"/>
      <c r="B24" s="144" t="s">
        <v>118</v>
      </c>
      <c r="C24" s="123">
        <v>11</v>
      </c>
      <c r="D24" s="123">
        <v>270</v>
      </c>
      <c r="E24" s="153">
        <v>149</v>
      </c>
      <c r="F24" s="153">
        <v>17</v>
      </c>
      <c r="G24" s="153">
        <v>38</v>
      </c>
      <c r="H24" s="79">
        <f t="shared" si="1"/>
        <v>24.545454545454547</v>
      </c>
      <c r="J24" s="123">
        <v>14</v>
      </c>
      <c r="K24" s="123">
        <v>304</v>
      </c>
      <c r="L24" s="153">
        <v>144</v>
      </c>
      <c r="M24" s="153">
        <v>15</v>
      </c>
      <c r="N24" s="153">
        <v>150</v>
      </c>
      <c r="O24" s="79">
        <f t="shared" si="3"/>
        <v>21.714285714285715</v>
      </c>
      <c r="Q24" s="123">
        <f t="shared" si="0"/>
        <v>25</v>
      </c>
      <c r="R24" s="123">
        <f t="shared" si="0"/>
        <v>574</v>
      </c>
      <c r="S24" s="153">
        <f t="shared" si="0"/>
        <v>293</v>
      </c>
      <c r="T24" s="153">
        <f t="shared" si="0"/>
        <v>32</v>
      </c>
      <c r="U24" s="153">
        <f t="shared" si="0"/>
        <v>188</v>
      </c>
      <c r="V24" s="79">
        <f t="shared" si="2"/>
        <v>22.96</v>
      </c>
    </row>
    <row r="25" spans="1:22" ht="12">
      <c r="A25" s="191" t="s">
        <v>37</v>
      </c>
      <c r="B25" s="191"/>
      <c r="C25" s="75">
        <f>C26+C27+C28+C29</f>
        <v>41</v>
      </c>
      <c r="D25" s="75">
        <f>D26+D27+D28+D29</f>
        <v>945</v>
      </c>
      <c r="E25" s="80">
        <f>E26+E27+E28+E29</f>
        <v>449</v>
      </c>
      <c r="F25" s="80">
        <f>F26+F27+F28+F29</f>
        <v>29</v>
      </c>
      <c r="G25" s="80">
        <f>G26+G27+G28+G29</f>
        <v>89</v>
      </c>
      <c r="H25" s="74">
        <f t="shared" si="1"/>
        <v>23.048780487804876</v>
      </c>
      <c r="J25" s="75">
        <f>J26+J27+J28+J29</f>
        <v>5</v>
      </c>
      <c r="K25" s="75">
        <f>K26+K27+K28+K29</f>
        <v>124</v>
      </c>
      <c r="L25" s="80">
        <f>L26+L27+L28+L29</f>
        <v>68</v>
      </c>
      <c r="M25" s="80">
        <f>M26+M27+M28+M29</f>
        <v>0</v>
      </c>
      <c r="N25" s="80">
        <f>N26+N27+N28+N29</f>
        <v>13</v>
      </c>
      <c r="O25" s="74">
        <f t="shared" si="3"/>
        <v>24.8</v>
      </c>
      <c r="Q25" s="75">
        <f t="shared" si="0"/>
        <v>46</v>
      </c>
      <c r="R25" s="75">
        <f t="shared" si="0"/>
        <v>1069</v>
      </c>
      <c r="S25" s="80">
        <f t="shared" si="0"/>
        <v>517</v>
      </c>
      <c r="T25" s="80">
        <f t="shared" si="0"/>
        <v>29</v>
      </c>
      <c r="U25" s="80">
        <f t="shared" si="0"/>
        <v>102</v>
      </c>
      <c r="V25" s="74">
        <f t="shared" si="2"/>
        <v>23.23913043478261</v>
      </c>
    </row>
    <row r="26" spans="1:22" ht="12">
      <c r="A26" s="193"/>
      <c r="B26" s="144" t="s">
        <v>119</v>
      </c>
      <c r="C26" s="123">
        <v>7</v>
      </c>
      <c r="D26" s="123">
        <v>138</v>
      </c>
      <c r="E26" s="153">
        <v>71</v>
      </c>
      <c r="F26" s="153">
        <v>6</v>
      </c>
      <c r="G26" s="153">
        <v>9</v>
      </c>
      <c r="H26" s="79">
        <f t="shared" si="1"/>
        <v>19.714285714285715</v>
      </c>
      <c r="J26" s="123"/>
      <c r="K26" s="123"/>
      <c r="L26" s="153"/>
      <c r="M26" s="153"/>
      <c r="N26" s="153"/>
      <c r="O26" s="79"/>
      <c r="Q26" s="123">
        <f t="shared" si="0"/>
        <v>7</v>
      </c>
      <c r="R26" s="123">
        <f t="shared" si="0"/>
        <v>138</v>
      </c>
      <c r="S26" s="153">
        <f t="shared" si="0"/>
        <v>71</v>
      </c>
      <c r="T26" s="153">
        <f t="shared" si="0"/>
        <v>6</v>
      </c>
      <c r="U26" s="153">
        <f t="shared" si="0"/>
        <v>9</v>
      </c>
      <c r="V26" s="79">
        <f t="shared" si="2"/>
        <v>19.714285714285715</v>
      </c>
    </row>
    <row r="27" spans="1:22" ht="12">
      <c r="A27" s="193"/>
      <c r="B27" s="144" t="s">
        <v>120</v>
      </c>
      <c r="C27" s="123">
        <v>9</v>
      </c>
      <c r="D27" s="123">
        <v>216</v>
      </c>
      <c r="E27" s="153">
        <v>107</v>
      </c>
      <c r="F27" s="153">
        <v>3</v>
      </c>
      <c r="G27" s="153">
        <v>21</v>
      </c>
      <c r="H27" s="79">
        <f t="shared" si="1"/>
        <v>24</v>
      </c>
      <c r="J27" s="123"/>
      <c r="K27" s="123"/>
      <c r="L27" s="153"/>
      <c r="M27" s="153"/>
      <c r="N27" s="153"/>
      <c r="O27" s="79"/>
      <c r="Q27" s="123">
        <f t="shared" si="0"/>
        <v>9</v>
      </c>
      <c r="R27" s="123">
        <f t="shared" si="0"/>
        <v>216</v>
      </c>
      <c r="S27" s="153">
        <f t="shared" si="0"/>
        <v>107</v>
      </c>
      <c r="T27" s="153">
        <f t="shared" si="0"/>
        <v>3</v>
      </c>
      <c r="U27" s="153">
        <f t="shared" si="0"/>
        <v>21</v>
      </c>
      <c r="V27" s="79">
        <f t="shared" si="2"/>
        <v>24</v>
      </c>
    </row>
    <row r="28" spans="1:22" ht="12">
      <c r="A28" s="192"/>
      <c r="B28" s="144" t="s">
        <v>121</v>
      </c>
      <c r="C28" s="123">
        <v>9</v>
      </c>
      <c r="D28" s="123">
        <v>223</v>
      </c>
      <c r="E28" s="153">
        <v>104</v>
      </c>
      <c r="F28" s="153">
        <v>9</v>
      </c>
      <c r="G28" s="153">
        <v>25</v>
      </c>
      <c r="H28" s="79">
        <f t="shared" si="1"/>
        <v>24.77777777777778</v>
      </c>
      <c r="J28" s="123"/>
      <c r="K28" s="123"/>
      <c r="L28" s="153"/>
      <c r="M28" s="153"/>
      <c r="N28" s="153"/>
      <c r="O28" s="79"/>
      <c r="Q28" s="123">
        <f t="shared" si="0"/>
        <v>9</v>
      </c>
      <c r="R28" s="123">
        <f t="shared" si="0"/>
        <v>223</v>
      </c>
      <c r="S28" s="153">
        <f t="shared" si="0"/>
        <v>104</v>
      </c>
      <c r="T28" s="153">
        <f t="shared" si="0"/>
        <v>9</v>
      </c>
      <c r="U28" s="153">
        <f t="shared" si="0"/>
        <v>25</v>
      </c>
      <c r="V28" s="79">
        <f t="shared" si="2"/>
        <v>24.77777777777778</v>
      </c>
    </row>
    <row r="29" spans="1:22" ht="12">
      <c r="A29" s="193"/>
      <c r="B29" s="144" t="s">
        <v>122</v>
      </c>
      <c r="C29" s="123">
        <v>16</v>
      </c>
      <c r="D29" s="123">
        <v>368</v>
      </c>
      <c r="E29" s="153">
        <v>167</v>
      </c>
      <c r="F29" s="153">
        <v>11</v>
      </c>
      <c r="G29" s="153">
        <v>34</v>
      </c>
      <c r="H29" s="79">
        <f t="shared" si="1"/>
        <v>23</v>
      </c>
      <c r="J29" s="123">
        <v>5</v>
      </c>
      <c r="K29" s="123">
        <v>124</v>
      </c>
      <c r="L29" s="153">
        <v>68</v>
      </c>
      <c r="M29" s="153">
        <v>0</v>
      </c>
      <c r="N29" s="153">
        <v>13</v>
      </c>
      <c r="O29" s="79">
        <f t="shared" si="3"/>
        <v>24.8</v>
      </c>
      <c r="Q29" s="123">
        <f t="shared" si="0"/>
        <v>21</v>
      </c>
      <c r="R29" s="123">
        <f t="shared" si="0"/>
        <v>492</v>
      </c>
      <c r="S29" s="153">
        <f t="shared" si="0"/>
        <v>235</v>
      </c>
      <c r="T29" s="153">
        <f t="shared" si="0"/>
        <v>11</v>
      </c>
      <c r="U29" s="153">
        <f t="shared" si="0"/>
        <v>47</v>
      </c>
      <c r="V29" s="79">
        <f t="shared" si="2"/>
        <v>23.428571428571427</v>
      </c>
    </row>
    <row r="30" spans="1:22" ht="12">
      <c r="A30" s="191" t="s">
        <v>17</v>
      </c>
      <c r="B30" s="191"/>
      <c r="C30" s="75">
        <f>C31+C32</f>
        <v>27</v>
      </c>
      <c r="D30" s="75">
        <f>D31+D32</f>
        <v>687</v>
      </c>
      <c r="E30" s="80">
        <f>E31+E32</f>
        <v>323</v>
      </c>
      <c r="F30" s="80">
        <f>F31+F32</f>
        <v>30</v>
      </c>
      <c r="G30" s="80">
        <f>G31+G32</f>
        <v>148</v>
      </c>
      <c r="H30" s="74">
        <f t="shared" si="1"/>
        <v>25.444444444444443</v>
      </c>
      <c r="J30" s="75">
        <f>J31+J32</f>
        <v>17</v>
      </c>
      <c r="K30" s="75">
        <f>K31+K32</f>
        <v>413</v>
      </c>
      <c r="L30" s="80">
        <f>L31+L32</f>
        <v>206</v>
      </c>
      <c r="M30" s="80">
        <f>M31+M32</f>
        <v>9</v>
      </c>
      <c r="N30" s="80">
        <f>N31+N32</f>
        <v>159</v>
      </c>
      <c r="O30" s="74">
        <f t="shared" si="3"/>
        <v>24.294117647058822</v>
      </c>
      <c r="Q30" s="75">
        <f t="shared" si="0"/>
        <v>44</v>
      </c>
      <c r="R30" s="75">
        <f t="shared" si="0"/>
        <v>1100</v>
      </c>
      <c r="S30" s="80">
        <f t="shared" si="0"/>
        <v>529</v>
      </c>
      <c r="T30" s="80">
        <f t="shared" si="0"/>
        <v>39</v>
      </c>
      <c r="U30" s="80">
        <f t="shared" si="0"/>
        <v>307</v>
      </c>
      <c r="V30" s="74">
        <f t="shared" si="2"/>
        <v>25</v>
      </c>
    </row>
    <row r="31" spans="1:22" ht="12">
      <c r="A31" s="192"/>
      <c r="B31" s="144" t="s">
        <v>123</v>
      </c>
      <c r="C31" s="123">
        <v>19</v>
      </c>
      <c r="D31" s="123">
        <v>482</v>
      </c>
      <c r="E31" s="153">
        <v>230</v>
      </c>
      <c r="F31" s="153">
        <v>19</v>
      </c>
      <c r="G31" s="153">
        <v>114</v>
      </c>
      <c r="H31" s="79">
        <f t="shared" si="1"/>
        <v>25.36842105263158</v>
      </c>
      <c r="J31" s="123">
        <v>11</v>
      </c>
      <c r="K31" s="123">
        <v>267</v>
      </c>
      <c r="L31" s="153">
        <v>132</v>
      </c>
      <c r="M31" s="153">
        <v>4</v>
      </c>
      <c r="N31" s="153">
        <v>104</v>
      </c>
      <c r="O31" s="79">
        <f t="shared" si="3"/>
        <v>24.272727272727273</v>
      </c>
      <c r="Q31" s="123">
        <f t="shared" si="0"/>
        <v>30</v>
      </c>
      <c r="R31" s="123">
        <f t="shared" si="0"/>
        <v>749</v>
      </c>
      <c r="S31" s="153">
        <f t="shared" si="0"/>
        <v>362</v>
      </c>
      <c r="T31" s="153">
        <f t="shared" si="0"/>
        <v>23</v>
      </c>
      <c r="U31" s="153">
        <f t="shared" si="0"/>
        <v>218</v>
      </c>
      <c r="V31" s="79">
        <f t="shared" si="2"/>
        <v>24.966666666666665</v>
      </c>
    </row>
    <row r="32" spans="1:22" ht="12">
      <c r="A32" s="193"/>
      <c r="B32" s="144" t="s">
        <v>124</v>
      </c>
      <c r="C32" s="123">
        <v>8</v>
      </c>
      <c r="D32" s="123">
        <v>205</v>
      </c>
      <c r="E32" s="153">
        <v>93</v>
      </c>
      <c r="F32" s="153">
        <v>11</v>
      </c>
      <c r="G32" s="153">
        <v>34</v>
      </c>
      <c r="H32" s="79">
        <f t="shared" si="1"/>
        <v>25.625</v>
      </c>
      <c r="J32" s="123">
        <v>6</v>
      </c>
      <c r="K32" s="123">
        <v>146</v>
      </c>
      <c r="L32" s="153">
        <v>74</v>
      </c>
      <c r="M32" s="153">
        <v>5</v>
      </c>
      <c r="N32" s="153">
        <v>55</v>
      </c>
      <c r="O32" s="79">
        <f t="shared" si="3"/>
        <v>24.333333333333332</v>
      </c>
      <c r="Q32" s="123">
        <f t="shared" si="0"/>
        <v>14</v>
      </c>
      <c r="R32" s="123">
        <f t="shared" si="0"/>
        <v>351</v>
      </c>
      <c r="S32" s="153">
        <f t="shared" si="0"/>
        <v>167</v>
      </c>
      <c r="T32" s="153">
        <f t="shared" si="0"/>
        <v>16</v>
      </c>
      <c r="U32" s="153">
        <f t="shared" si="0"/>
        <v>89</v>
      </c>
      <c r="V32" s="79">
        <f t="shared" si="2"/>
        <v>25.071428571428573</v>
      </c>
    </row>
    <row r="33" spans="1:22" ht="12">
      <c r="A33" s="194" t="s">
        <v>125</v>
      </c>
      <c r="B33" s="194"/>
      <c r="C33" s="80">
        <f>+C19+C28+C27+C20</f>
        <v>27</v>
      </c>
      <c r="D33" s="80">
        <f>+D19+D28+D27+D20</f>
        <v>668</v>
      </c>
      <c r="E33" s="80">
        <f>+E19+E28+E27+E20</f>
        <v>318</v>
      </c>
      <c r="F33" s="80">
        <f>+F19+F28+F27+F20</f>
        <v>23</v>
      </c>
      <c r="G33" s="80">
        <f>+G19+G28+G27+G20</f>
        <v>97</v>
      </c>
      <c r="H33" s="195">
        <f t="shared" si="1"/>
        <v>24.74074074074074</v>
      </c>
      <c r="J33" s="80">
        <f>+J19+J28+J27+J20</f>
        <v>8</v>
      </c>
      <c r="K33" s="80">
        <f>+K19+K28+K27+K20</f>
        <v>193</v>
      </c>
      <c r="L33" s="80">
        <f>+L19+L28+L27+L20</f>
        <v>107</v>
      </c>
      <c r="M33" s="80">
        <f>+M19+M28+M27+M20</f>
        <v>0</v>
      </c>
      <c r="N33" s="80">
        <f>+N19+N28+N27+N20</f>
        <v>68</v>
      </c>
      <c r="O33" s="195">
        <f t="shared" si="3"/>
        <v>24.125</v>
      </c>
      <c r="Q33" s="80">
        <f t="shared" si="0"/>
        <v>35</v>
      </c>
      <c r="R33" s="80">
        <f t="shared" si="0"/>
        <v>861</v>
      </c>
      <c r="S33" s="80">
        <f t="shared" si="0"/>
        <v>425</v>
      </c>
      <c r="T33" s="80">
        <f t="shared" si="0"/>
        <v>23</v>
      </c>
      <c r="U33" s="80">
        <f t="shared" si="0"/>
        <v>165</v>
      </c>
      <c r="V33" s="195">
        <f t="shared" si="2"/>
        <v>24.6</v>
      </c>
    </row>
    <row r="34" spans="1:22" ht="12">
      <c r="A34" s="194" t="s">
        <v>126</v>
      </c>
      <c r="B34" s="194"/>
      <c r="C34" s="80">
        <f>+C10+C11+C12+C14+C15+C16+C18+C21+C23+C24+C26+C29+C31+C32</f>
        <v>189</v>
      </c>
      <c r="D34" s="80">
        <f>+D10+D11+D12+D14+D15+D16+D18+D21+D23+D24+D26+D29+D31+D32</f>
        <v>4619</v>
      </c>
      <c r="E34" s="80">
        <f>+E10+E11+E12+E14+E15+E16+E18+E21+E23+E24+E26+E29+E31+E32</f>
        <v>2304</v>
      </c>
      <c r="F34" s="80">
        <f>+F10+F11+F12+F14+F15+F16+F18+F21+F23+F24+F26+F29+F31+F32</f>
        <v>196</v>
      </c>
      <c r="G34" s="80">
        <f>+G10+G11+G12+G14+G15+G16+G18+G21+G23+G24+G26+G29+G31+G32</f>
        <v>1249</v>
      </c>
      <c r="H34" s="195">
        <f t="shared" si="1"/>
        <v>24.43915343915344</v>
      </c>
      <c r="J34" s="80">
        <f>+J10+J11+J12+J14+J15+J16+J18+J21+J23+J24+J26+J29+J31+J32</f>
        <v>72</v>
      </c>
      <c r="K34" s="80">
        <f>+K10+K11+K12+K14+K15+K16+K18+K21+K23+K24+K26+K29+K31+K32</f>
        <v>1685</v>
      </c>
      <c r="L34" s="80">
        <f>+L10+L11+L12+L14+L15+L16+L18+L21+L23+L24+L26+L29+L31+L32</f>
        <v>844</v>
      </c>
      <c r="M34" s="80">
        <f>+M10+M11+M12+M14+M15+M16+M18+M21+M23+M24+M26+M29+M31+M32</f>
        <v>47</v>
      </c>
      <c r="N34" s="80">
        <f>+N10+N11+N12+N14+N15+N16+N18+N21+N23+N24+N26+N29+N31+N32</f>
        <v>841</v>
      </c>
      <c r="O34" s="195">
        <f t="shared" si="3"/>
        <v>23.40277777777778</v>
      </c>
      <c r="Q34" s="80">
        <f t="shared" si="0"/>
        <v>261</v>
      </c>
      <c r="R34" s="80">
        <f t="shared" si="0"/>
        <v>6304</v>
      </c>
      <c r="S34" s="80">
        <f t="shared" si="0"/>
        <v>3148</v>
      </c>
      <c r="T34" s="80">
        <f t="shared" si="0"/>
        <v>243</v>
      </c>
      <c r="U34" s="80">
        <f t="shared" si="0"/>
        <v>2090</v>
      </c>
      <c r="V34" s="195">
        <f t="shared" si="2"/>
        <v>24.153256704980844</v>
      </c>
    </row>
    <row r="35" spans="1:22" ht="12">
      <c r="A35" s="196" t="s">
        <v>48</v>
      </c>
      <c r="B35" s="196"/>
      <c r="C35" s="171">
        <f>+C9+C13+C17+C22+C25+C30</f>
        <v>216</v>
      </c>
      <c r="D35" s="171">
        <f>+D9+D13+D17+D22+D25+D30</f>
        <v>5287</v>
      </c>
      <c r="E35" s="93">
        <f>+E9+E13+E17+E22+E25+E30</f>
        <v>2622</v>
      </c>
      <c r="F35" s="93">
        <f>+F9+F13+F17+F22+F25+F30</f>
        <v>219</v>
      </c>
      <c r="G35" s="93">
        <f>+G9+G13+G17+G22+G25+G30</f>
        <v>1346</v>
      </c>
      <c r="H35" s="94">
        <f t="shared" si="1"/>
        <v>24.47685185185185</v>
      </c>
      <c r="J35" s="171">
        <f>+J9+J13+J17+J22+J25+J30</f>
        <v>80</v>
      </c>
      <c r="K35" s="171">
        <f>+K9+K13+K17+K22+K25+K30</f>
        <v>1878</v>
      </c>
      <c r="L35" s="93">
        <f>+L9+L13+L17+L22+L25+L30</f>
        <v>951</v>
      </c>
      <c r="M35" s="93">
        <f>+M9+M13+M17+M22+M25+M30</f>
        <v>47</v>
      </c>
      <c r="N35" s="93">
        <f>+N9+N13+N17+N22+N25+N30</f>
        <v>909</v>
      </c>
      <c r="O35" s="94">
        <f t="shared" si="3"/>
        <v>23.475</v>
      </c>
      <c r="Q35" s="171">
        <f t="shared" si="0"/>
        <v>296</v>
      </c>
      <c r="R35" s="171">
        <f t="shared" si="0"/>
        <v>7165</v>
      </c>
      <c r="S35" s="93">
        <f t="shared" si="0"/>
        <v>3573</v>
      </c>
      <c r="T35" s="93">
        <f t="shared" si="0"/>
        <v>266</v>
      </c>
      <c r="U35" s="93">
        <f t="shared" si="0"/>
        <v>2255</v>
      </c>
      <c r="V35" s="94">
        <f>R35/Q35</f>
        <v>24.20608108108108</v>
      </c>
    </row>
    <row r="36" spans="1:22" ht="12">
      <c r="A36" s="97" t="s">
        <v>131</v>
      </c>
      <c r="B36" s="106"/>
      <c r="C36" s="107"/>
      <c r="D36" s="106"/>
      <c r="E36" s="106"/>
      <c r="F36" s="106"/>
      <c r="G36" s="106"/>
      <c r="H36" s="107"/>
      <c r="I36" s="107"/>
      <c r="J36" s="108"/>
      <c r="K36" s="108"/>
      <c r="L36" s="197"/>
      <c r="M36" s="108"/>
      <c r="N36" s="109"/>
      <c r="O36" s="109"/>
      <c r="P36" s="106"/>
      <c r="Q36" s="106"/>
      <c r="T36" s="106"/>
      <c r="U36" s="106"/>
      <c r="V36" s="106"/>
    </row>
    <row r="37" spans="1:22" ht="12">
      <c r="A37" s="97" t="s">
        <v>59</v>
      </c>
      <c r="B37" s="106"/>
      <c r="C37" s="107"/>
      <c r="D37" s="106"/>
      <c r="E37" s="106"/>
      <c r="F37" s="106"/>
      <c r="G37" s="106"/>
      <c r="H37" s="107"/>
      <c r="I37" s="107"/>
      <c r="J37" s="108"/>
      <c r="K37" s="108"/>
      <c r="L37" s="197"/>
      <c r="M37" s="108"/>
      <c r="N37" s="109"/>
      <c r="O37" s="109"/>
      <c r="P37" s="106"/>
      <c r="Q37" s="106"/>
      <c r="R37" s="106"/>
      <c r="S37" s="106"/>
      <c r="T37" s="106"/>
      <c r="U37" s="106"/>
      <c r="V37" s="106"/>
    </row>
    <row r="38" spans="1:22" ht="12">
      <c r="A38" s="105" t="s">
        <v>60</v>
      </c>
      <c r="B38" s="106"/>
      <c r="C38" s="107"/>
      <c r="D38" s="106"/>
      <c r="E38" s="106"/>
      <c r="F38" s="106"/>
      <c r="G38" s="106"/>
      <c r="H38" s="107"/>
      <c r="I38" s="107"/>
      <c r="J38" s="108"/>
      <c r="K38" s="108"/>
      <c r="L38" s="108"/>
      <c r="M38" s="108"/>
      <c r="N38" s="109"/>
      <c r="O38" s="109"/>
      <c r="P38" s="106"/>
      <c r="Q38" s="106"/>
      <c r="R38" s="106"/>
      <c r="S38" s="106"/>
      <c r="T38" s="106"/>
      <c r="U38" s="106"/>
      <c r="V38" s="106"/>
    </row>
    <row r="39" spans="1:22" ht="12">
      <c r="A39" s="105" t="s">
        <v>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6"/>
      <c r="Q39" s="106"/>
      <c r="R39" s="106"/>
      <c r="S39" s="106"/>
      <c r="T39" s="106"/>
      <c r="U39" s="106"/>
      <c r="V39" s="106"/>
    </row>
    <row r="40" spans="1:22" ht="12">
      <c r="A40" s="97" t="s">
        <v>85</v>
      </c>
      <c r="B40" s="106"/>
      <c r="C40" s="107"/>
      <c r="D40" s="107"/>
      <c r="E40" s="106"/>
      <c r="F40" s="106"/>
      <c r="G40" s="106"/>
      <c r="H40" s="107"/>
      <c r="I40" s="108"/>
      <c r="J40" s="108"/>
      <c r="K40" s="108"/>
      <c r="L40" s="109"/>
      <c r="M40" s="106"/>
      <c r="N40" s="106"/>
      <c r="O40" s="106"/>
      <c r="P40" s="106"/>
      <c r="Q40" s="106"/>
      <c r="R40" s="106"/>
      <c r="S40" s="106"/>
      <c r="T40" s="144"/>
      <c r="U40" s="144"/>
      <c r="V40" s="144"/>
    </row>
    <row r="41" spans="1:19" ht="12">
      <c r="A41" s="97" t="s">
        <v>90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96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ht="12">
      <c r="A45" s="97" t="s">
        <v>101</v>
      </c>
    </row>
    <row r="46" ht="12">
      <c r="A46" s="109" t="s">
        <v>135</v>
      </c>
    </row>
    <row r="47" ht="12">
      <c r="A47" s="109" t="s">
        <v>136</v>
      </c>
    </row>
    <row r="48" ht="12">
      <c r="A48" s="109" t="s">
        <v>137</v>
      </c>
    </row>
    <row r="49" ht="12">
      <c r="A49" s="109" t="s">
        <v>138</v>
      </c>
    </row>
  </sheetData>
  <sheetProtection/>
  <mergeCells count="7">
    <mergeCell ref="Q4:V4"/>
    <mergeCell ref="D5:H5"/>
    <mergeCell ref="K5:O5"/>
    <mergeCell ref="R5:V5"/>
    <mergeCell ref="C3:V3"/>
    <mergeCell ref="C4:H4"/>
    <mergeCell ref="J4:O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&amp;R400042.xls</oddHeader>
    <oddFooter>&amp;LComune di Bologna - Dipartimento Programmazione</oddFooter>
  </headerFooter>
  <ignoredErrors>
    <ignoredError sqref="C9:V34 C35:U35" unlockedFormula="1"/>
    <ignoredError sqref="E8:U8 O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15.25390625" style="21" bestFit="1" customWidth="1"/>
    <col min="3" max="6" width="8.125" style="21" customWidth="1"/>
    <col min="7" max="7" width="7.875" style="21" bestFit="1" customWidth="1"/>
    <col min="8" max="8" width="9.125" style="21" customWidth="1"/>
    <col min="9" max="9" width="2.125" style="21" customWidth="1"/>
    <col min="10" max="12" width="8.125" style="21" customWidth="1"/>
    <col min="13" max="13" width="6.875" style="21" customWidth="1"/>
    <col min="14" max="14" width="7.875" style="21" bestFit="1" customWidth="1"/>
    <col min="15" max="15" width="8.125" style="21" customWidth="1"/>
    <col min="16" max="16" width="2.25390625" style="21" customWidth="1"/>
    <col min="17" max="18" width="8.125" style="21" customWidth="1"/>
    <col min="19" max="19" width="7.125" style="21" customWidth="1"/>
    <col min="20" max="20" width="8.875" style="21" bestFit="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128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49"/>
      <c r="U2" s="49"/>
      <c r="V2" s="49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53" t="s">
        <v>103</v>
      </c>
      <c r="C3" s="202" t="s">
        <v>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3"/>
      <c r="X3" s="23"/>
      <c r="Y3" s="23"/>
      <c r="Z3" s="23"/>
      <c r="AA3" s="23"/>
      <c r="AB3" s="23"/>
      <c r="AC3" s="23"/>
      <c r="AD3" s="23"/>
    </row>
    <row r="4" spans="1:30" ht="12">
      <c r="A4" s="187"/>
      <c r="B4" s="187"/>
      <c r="C4" s="203" t="s">
        <v>2</v>
      </c>
      <c r="D4" s="203"/>
      <c r="E4" s="203"/>
      <c r="F4" s="203"/>
      <c r="G4" s="203"/>
      <c r="H4" s="203"/>
      <c r="I4" s="115"/>
      <c r="J4" s="203" t="s">
        <v>3</v>
      </c>
      <c r="K4" s="203"/>
      <c r="L4" s="203"/>
      <c r="M4" s="203"/>
      <c r="N4" s="203"/>
      <c r="O4" s="203"/>
      <c r="P4" s="115"/>
      <c r="Q4" s="203" t="s">
        <v>20</v>
      </c>
      <c r="R4" s="203"/>
      <c r="S4" s="203"/>
      <c r="T4" s="203"/>
      <c r="U4" s="203"/>
      <c r="V4" s="203"/>
      <c r="W4" s="24"/>
      <c r="X4" s="24"/>
      <c r="Y4" s="24"/>
      <c r="Z4" s="24"/>
      <c r="AA4" s="23"/>
      <c r="AB4" s="23"/>
      <c r="AC4" s="23"/>
      <c r="AD4" s="24"/>
    </row>
    <row r="5" spans="1:29" ht="12">
      <c r="A5" s="187"/>
      <c r="B5" s="187"/>
      <c r="C5" s="57" t="s">
        <v>4</v>
      </c>
      <c r="D5" s="202" t="s">
        <v>5</v>
      </c>
      <c r="E5" s="202"/>
      <c r="F5" s="202"/>
      <c r="G5" s="202"/>
      <c r="H5" s="202"/>
      <c r="I5" s="112"/>
      <c r="J5" s="57" t="s">
        <v>4</v>
      </c>
      <c r="K5" s="204" t="s">
        <v>5</v>
      </c>
      <c r="L5" s="204"/>
      <c r="M5" s="204"/>
      <c r="N5" s="204"/>
      <c r="O5" s="204"/>
      <c r="P5" s="112"/>
      <c r="Q5" s="57" t="s">
        <v>4</v>
      </c>
      <c r="R5" s="204" t="s">
        <v>5</v>
      </c>
      <c r="S5" s="204"/>
      <c r="T5" s="204"/>
      <c r="U5" s="204"/>
      <c r="V5" s="204"/>
      <c r="AA5" s="24"/>
      <c r="AB5" s="24"/>
      <c r="AC5" s="24"/>
    </row>
    <row r="6" spans="1:22" ht="12">
      <c r="A6" s="187"/>
      <c r="B6" s="187"/>
      <c r="C6" s="58"/>
      <c r="D6" s="58" t="s">
        <v>6</v>
      </c>
      <c r="E6" s="59" t="s">
        <v>19</v>
      </c>
      <c r="F6" s="59" t="s">
        <v>19</v>
      </c>
      <c r="G6" s="59" t="s">
        <v>19</v>
      </c>
      <c r="H6" s="58" t="s">
        <v>22</v>
      </c>
      <c r="I6" s="58"/>
      <c r="J6" s="58"/>
      <c r="K6" s="58" t="s">
        <v>6</v>
      </c>
      <c r="L6" s="59" t="s">
        <v>19</v>
      </c>
      <c r="M6" s="59" t="s">
        <v>19</v>
      </c>
      <c r="N6" s="59" t="s">
        <v>19</v>
      </c>
      <c r="O6" s="58" t="s">
        <v>22</v>
      </c>
      <c r="P6" s="58"/>
      <c r="Q6" s="58"/>
      <c r="R6" s="58" t="s">
        <v>6</v>
      </c>
      <c r="S6" s="59" t="s">
        <v>19</v>
      </c>
      <c r="T6" s="59" t="s">
        <v>19</v>
      </c>
      <c r="U6" s="59" t="s">
        <v>19</v>
      </c>
      <c r="V6" s="58" t="s">
        <v>22</v>
      </c>
    </row>
    <row r="7" spans="1:22" ht="12">
      <c r="A7" s="187"/>
      <c r="B7" s="187"/>
      <c r="C7" s="58"/>
      <c r="D7" s="58"/>
      <c r="E7" s="59" t="s">
        <v>57</v>
      </c>
      <c r="F7" s="59" t="s">
        <v>27</v>
      </c>
      <c r="G7" s="59" t="s">
        <v>23</v>
      </c>
      <c r="H7" s="133" t="s">
        <v>24</v>
      </c>
      <c r="I7" s="58"/>
      <c r="J7" s="58"/>
      <c r="K7" s="58"/>
      <c r="L7" s="59" t="s">
        <v>57</v>
      </c>
      <c r="M7" s="59" t="s">
        <v>27</v>
      </c>
      <c r="N7" s="59" t="s">
        <v>23</v>
      </c>
      <c r="O7" s="133" t="s">
        <v>24</v>
      </c>
      <c r="P7" s="58"/>
      <c r="Q7" s="58"/>
      <c r="R7" s="58"/>
      <c r="S7" s="59" t="s">
        <v>57</v>
      </c>
      <c r="T7" s="59" t="s">
        <v>27</v>
      </c>
      <c r="U7" s="59" t="s">
        <v>23</v>
      </c>
      <c r="V7" s="133" t="s">
        <v>24</v>
      </c>
    </row>
    <row r="8" spans="1:22" ht="12">
      <c r="A8" s="188"/>
      <c r="B8" s="188"/>
      <c r="C8" s="64"/>
      <c r="D8" s="64"/>
      <c r="E8" s="65" t="s">
        <v>49</v>
      </c>
      <c r="F8" s="66" t="s">
        <v>28</v>
      </c>
      <c r="G8" s="65" t="s">
        <v>58</v>
      </c>
      <c r="H8" s="68"/>
      <c r="I8" s="68"/>
      <c r="J8" s="64"/>
      <c r="K8" s="64"/>
      <c r="L8" s="65" t="s">
        <v>49</v>
      </c>
      <c r="M8" s="66" t="s">
        <v>28</v>
      </c>
      <c r="N8" s="65" t="s">
        <v>58</v>
      </c>
      <c r="O8" s="68"/>
      <c r="P8" s="68"/>
      <c r="Q8" s="64"/>
      <c r="R8" s="64"/>
      <c r="S8" s="65" t="s">
        <v>49</v>
      </c>
      <c r="T8" s="66" t="s">
        <v>28</v>
      </c>
      <c r="U8" s="65" t="s">
        <v>58</v>
      </c>
      <c r="V8" s="68"/>
    </row>
    <row r="9" spans="1:22" ht="12">
      <c r="A9" s="189" t="s">
        <v>104</v>
      </c>
      <c r="B9" s="189"/>
      <c r="C9" s="75">
        <f>C10+C11+C12</f>
        <v>43</v>
      </c>
      <c r="D9" s="75">
        <f>D10+D11+D12</f>
        <v>1070</v>
      </c>
      <c r="E9" s="80">
        <f>E10+E11+E12</f>
        <v>549</v>
      </c>
      <c r="F9" s="80">
        <f>F10+F11+F12</f>
        <v>30</v>
      </c>
      <c r="G9" s="80">
        <f>G10+G11+G12</f>
        <v>379</v>
      </c>
      <c r="H9" s="74">
        <f>D9/C9</f>
        <v>24.88372093023256</v>
      </c>
      <c r="J9" s="75">
        <f>J10+J11+J12</f>
        <v>6</v>
      </c>
      <c r="K9" s="75">
        <f>K10+K11+K12</f>
        <v>150</v>
      </c>
      <c r="L9" s="80">
        <f>L10+L11+L12</f>
        <v>79</v>
      </c>
      <c r="M9" s="80">
        <f>M10+M11+M12</f>
        <v>1</v>
      </c>
      <c r="N9" s="80">
        <f>N10+N11+N12</f>
        <v>61</v>
      </c>
      <c r="O9" s="74">
        <f>K9/J9</f>
        <v>25</v>
      </c>
      <c r="Q9" s="75">
        <f aca="true" t="shared" si="0" ref="Q9:U35">J9+C9</f>
        <v>49</v>
      </c>
      <c r="R9" s="190">
        <f t="shared" si="0"/>
        <v>1220</v>
      </c>
      <c r="S9" s="80">
        <f t="shared" si="0"/>
        <v>628</v>
      </c>
      <c r="T9" s="164">
        <f t="shared" si="0"/>
        <v>31</v>
      </c>
      <c r="U9" s="164">
        <f>N9+G9</f>
        <v>440</v>
      </c>
      <c r="V9" s="74">
        <f>R9/Q9</f>
        <v>24.897959183673468</v>
      </c>
    </row>
    <row r="10" spans="1:22" ht="12">
      <c r="A10" s="144"/>
      <c r="B10" s="144" t="s">
        <v>105</v>
      </c>
      <c r="C10" s="123">
        <v>12</v>
      </c>
      <c r="D10" s="123">
        <v>301</v>
      </c>
      <c r="E10" s="153">
        <v>164</v>
      </c>
      <c r="F10" s="153">
        <v>5</v>
      </c>
      <c r="G10" s="153">
        <v>73</v>
      </c>
      <c r="H10" s="79">
        <f>D10/C10</f>
        <v>25.083333333333332</v>
      </c>
      <c r="J10" s="123">
        <v>4</v>
      </c>
      <c r="K10" s="123">
        <v>100</v>
      </c>
      <c r="L10" s="153">
        <v>53</v>
      </c>
      <c r="M10" s="153">
        <v>0</v>
      </c>
      <c r="N10" s="153">
        <v>44</v>
      </c>
      <c r="O10" s="79">
        <f>K10/J10</f>
        <v>25</v>
      </c>
      <c r="Q10" s="123">
        <f t="shared" si="0"/>
        <v>16</v>
      </c>
      <c r="R10" s="123">
        <f t="shared" si="0"/>
        <v>401</v>
      </c>
      <c r="S10" s="153">
        <f t="shared" si="0"/>
        <v>217</v>
      </c>
      <c r="T10" s="153">
        <f t="shared" si="0"/>
        <v>5</v>
      </c>
      <c r="U10" s="153">
        <f t="shared" si="0"/>
        <v>117</v>
      </c>
      <c r="V10" s="79">
        <f>R10/Q10</f>
        <v>25.0625</v>
      </c>
    </row>
    <row r="11" spans="1:22" ht="12">
      <c r="A11" s="144"/>
      <c r="B11" s="144" t="s">
        <v>106</v>
      </c>
      <c r="C11" s="123">
        <v>21</v>
      </c>
      <c r="D11" s="123">
        <v>523</v>
      </c>
      <c r="E11" s="153">
        <v>255</v>
      </c>
      <c r="F11" s="153">
        <v>20</v>
      </c>
      <c r="G11" s="153">
        <v>212</v>
      </c>
      <c r="H11" s="79">
        <f aca="true" t="shared" si="1" ref="H11:H35">D11/C11</f>
        <v>24.904761904761905</v>
      </c>
      <c r="J11" s="123"/>
      <c r="K11" s="123"/>
      <c r="L11" s="153"/>
      <c r="M11" s="153"/>
      <c r="N11" s="153"/>
      <c r="O11" s="79"/>
      <c r="Q11" s="123">
        <f t="shared" si="0"/>
        <v>21</v>
      </c>
      <c r="R11" s="123">
        <f t="shared" si="0"/>
        <v>523</v>
      </c>
      <c r="S11" s="153">
        <f t="shared" si="0"/>
        <v>255</v>
      </c>
      <c r="T11" s="153">
        <f t="shared" si="0"/>
        <v>20</v>
      </c>
      <c r="U11" s="153">
        <f t="shared" si="0"/>
        <v>212</v>
      </c>
      <c r="V11" s="79">
        <f aca="true" t="shared" si="2" ref="V11:V35">R11/Q11</f>
        <v>24.904761904761905</v>
      </c>
    </row>
    <row r="12" spans="1:22" ht="12">
      <c r="A12" s="144"/>
      <c r="B12" s="144" t="s">
        <v>107</v>
      </c>
      <c r="C12" s="123">
        <v>10</v>
      </c>
      <c r="D12" s="123">
        <v>246</v>
      </c>
      <c r="E12" s="153">
        <v>130</v>
      </c>
      <c r="F12" s="153">
        <v>5</v>
      </c>
      <c r="G12" s="153">
        <v>94</v>
      </c>
      <c r="H12" s="79">
        <f t="shared" si="1"/>
        <v>24.6</v>
      </c>
      <c r="J12" s="123">
        <v>2</v>
      </c>
      <c r="K12" s="123">
        <v>50</v>
      </c>
      <c r="L12" s="153">
        <v>26</v>
      </c>
      <c r="M12" s="153">
        <v>1</v>
      </c>
      <c r="N12" s="153">
        <v>17</v>
      </c>
      <c r="O12" s="79">
        <f aca="true" t="shared" si="3" ref="O12:O35">K12/J12</f>
        <v>25</v>
      </c>
      <c r="Q12" s="123">
        <f t="shared" si="0"/>
        <v>12</v>
      </c>
      <c r="R12" s="123">
        <f t="shared" si="0"/>
        <v>296</v>
      </c>
      <c r="S12" s="153">
        <f t="shared" si="0"/>
        <v>156</v>
      </c>
      <c r="T12" s="153">
        <f t="shared" si="0"/>
        <v>6</v>
      </c>
      <c r="U12" s="153">
        <f t="shared" si="0"/>
        <v>111</v>
      </c>
      <c r="V12" s="79">
        <f t="shared" si="2"/>
        <v>24.666666666666668</v>
      </c>
    </row>
    <row r="13" spans="1:22" ht="12">
      <c r="A13" s="191" t="s">
        <v>10</v>
      </c>
      <c r="B13" s="191"/>
      <c r="C13" s="75">
        <f>C14+C15+C16</f>
        <v>34</v>
      </c>
      <c r="D13" s="75">
        <f>D14+D15+D16</f>
        <v>854</v>
      </c>
      <c r="E13" s="80">
        <f>E14+E15+E16</f>
        <v>432</v>
      </c>
      <c r="F13" s="80">
        <f>F14+F15+F16</f>
        <v>30</v>
      </c>
      <c r="G13" s="80">
        <f>G14+G15+G16</f>
        <v>326</v>
      </c>
      <c r="H13" s="74">
        <f t="shared" si="1"/>
        <v>25.11764705882353</v>
      </c>
      <c r="J13" s="75">
        <f>J14+J15+J16</f>
        <v>18</v>
      </c>
      <c r="K13" s="75">
        <f>K14+K15+K16</f>
        <v>418</v>
      </c>
      <c r="L13" s="80">
        <f>L14+L15+L16</f>
        <v>209</v>
      </c>
      <c r="M13" s="80">
        <f>M14+M15+M16</f>
        <v>6</v>
      </c>
      <c r="N13" s="80">
        <f>N14+N15+N16</f>
        <v>271</v>
      </c>
      <c r="O13" s="74">
        <f t="shared" si="3"/>
        <v>23.22222222222222</v>
      </c>
      <c r="Q13" s="75">
        <f t="shared" si="0"/>
        <v>52</v>
      </c>
      <c r="R13" s="75">
        <f t="shared" si="0"/>
        <v>1272</v>
      </c>
      <c r="S13" s="80">
        <f t="shared" si="0"/>
        <v>641</v>
      </c>
      <c r="T13" s="80">
        <f t="shared" si="0"/>
        <v>36</v>
      </c>
      <c r="U13" s="80">
        <f t="shared" si="0"/>
        <v>597</v>
      </c>
      <c r="V13" s="74">
        <f t="shared" si="2"/>
        <v>24.46153846153846</v>
      </c>
    </row>
    <row r="14" spans="1:22" ht="12">
      <c r="A14" s="192"/>
      <c r="B14" s="144" t="s">
        <v>108</v>
      </c>
      <c r="C14" s="123">
        <v>17</v>
      </c>
      <c r="D14" s="123">
        <v>422</v>
      </c>
      <c r="E14" s="153">
        <v>218</v>
      </c>
      <c r="F14" s="153">
        <v>19</v>
      </c>
      <c r="G14" s="153">
        <v>165</v>
      </c>
      <c r="H14" s="79">
        <f t="shared" si="1"/>
        <v>24.823529411764707</v>
      </c>
      <c r="J14" s="123">
        <v>10</v>
      </c>
      <c r="K14" s="123">
        <v>230</v>
      </c>
      <c r="L14" s="153">
        <v>116</v>
      </c>
      <c r="M14" s="153">
        <v>4</v>
      </c>
      <c r="N14" s="153">
        <v>161</v>
      </c>
      <c r="O14" s="79">
        <f t="shared" si="3"/>
        <v>23</v>
      </c>
      <c r="Q14" s="123">
        <f t="shared" si="0"/>
        <v>27</v>
      </c>
      <c r="R14" s="123">
        <f t="shared" si="0"/>
        <v>652</v>
      </c>
      <c r="S14" s="153">
        <f t="shared" si="0"/>
        <v>334</v>
      </c>
      <c r="T14" s="153">
        <f t="shared" si="0"/>
        <v>23</v>
      </c>
      <c r="U14" s="153">
        <f t="shared" si="0"/>
        <v>326</v>
      </c>
      <c r="V14" s="79">
        <f t="shared" si="2"/>
        <v>24.14814814814815</v>
      </c>
    </row>
    <row r="15" spans="1:22" ht="12">
      <c r="A15" s="193"/>
      <c r="B15" s="144" t="s">
        <v>109</v>
      </c>
      <c r="C15" s="123">
        <v>10</v>
      </c>
      <c r="D15" s="123">
        <v>259</v>
      </c>
      <c r="E15" s="153">
        <v>118</v>
      </c>
      <c r="F15" s="153">
        <v>6</v>
      </c>
      <c r="G15" s="153">
        <v>98</v>
      </c>
      <c r="H15" s="79">
        <f t="shared" si="1"/>
        <v>25.9</v>
      </c>
      <c r="J15" s="123">
        <v>4</v>
      </c>
      <c r="K15" s="123">
        <v>99</v>
      </c>
      <c r="L15" s="153">
        <v>44</v>
      </c>
      <c r="M15" s="153">
        <v>1</v>
      </c>
      <c r="N15" s="153">
        <v>48</v>
      </c>
      <c r="O15" s="79">
        <f t="shared" si="3"/>
        <v>24.75</v>
      </c>
      <c r="Q15" s="123">
        <f t="shared" si="0"/>
        <v>14</v>
      </c>
      <c r="R15" s="123">
        <f t="shared" si="0"/>
        <v>358</v>
      </c>
      <c r="S15" s="153">
        <f t="shared" si="0"/>
        <v>162</v>
      </c>
      <c r="T15" s="153">
        <f t="shared" si="0"/>
        <v>7</v>
      </c>
      <c r="U15" s="153">
        <f t="shared" si="0"/>
        <v>146</v>
      </c>
      <c r="V15" s="79">
        <f t="shared" si="2"/>
        <v>25.571428571428573</v>
      </c>
    </row>
    <row r="16" spans="1:22" ht="12">
      <c r="A16" s="193"/>
      <c r="B16" s="144" t="s">
        <v>110</v>
      </c>
      <c r="C16" s="123">
        <v>7</v>
      </c>
      <c r="D16" s="123">
        <v>173</v>
      </c>
      <c r="E16" s="153">
        <v>96</v>
      </c>
      <c r="F16" s="153">
        <v>5</v>
      </c>
      <c r="G16" s="153">
        <v>63</v>
      </c>
      <c r="H16" s="79">
        <f t="shared" si="1"/>
        <v>24.714285714285715</v>
      </c>
      <c r="J16" s="123">
        <v>4</v>
      </c>
      <c r="K16" s="123">
        <v>89</v>
      </c>
      <c r="L16" s="153">
        <v>49</v>
      </c>
      <c r="M16" s="153">
        <v>1</v>
      </c>
      <c r="N16" s="153">
        <v>62</v>
      </c>
      <c r="O16" s="79">
        <f t="shared" si="3"/>
        <v>22.25</v>
      </c>
      <c r="Q16" s="123">
        <f t="shared" si="0"/>
        <v>11</v>
      </c>
      <c r="R16" s="123">
        <f t="shared" si="0"/>
        <v>262</v>
      </c>
      <c r="S16" s="153">
        <f t="shared" si="0"/>
        <v>145</v>
      </c>
      <c r="T16" s="153">
        <f t="shared" si="0"/>
        <v>6</v>
      </c>
      <c r="U16" s="153">
        <f t="shared" si="0"/>
        <v>125</v>
      </c>
      <c r="V16" s="79">
        <f t="shared" si="2"/>
        <v>23.818181818181817</v>
      </c>
    </row>
    <row r="17" spans="1:22" ht="12">
      <c r="A17" s="191" t="s">
        <v>111</v>
      </c>
      <c r="B17" s="191"/>
      <c r="C17" s="75">
        <f>C18+C19+C20+C21</f>
        <v>44</v>
      </c>
      <c r="D17" s="75">
        <f>D18+D19+D20+D21</f>
        <v>1052</v>
      </c>
      <c r="E17" s="80">
        <f>E18+E19+E20+E21</f>
        <v>524</v>
      </c>
      <c r="F17" s="80">
        <f>F18+F19+F20+F21</f>
        <v>28</v>
      </c>
      <c r="G17" s="80">
        <f>G18+G19+G20+G21</f>
        <v>225</v>
      </c>
      <c r="H17" s="74">
        <f t="shared" si="1"/>
        <v>23.90909090909091</v>
      </c>
      <c r="J17" s="75">
        <f>J18+J19+J20+J21</f>
        <v>8</v>
      </c>
      <c r="K17" s="75">
        <f>K18+K19+K20+K21</f>
        <v>191</v>
      </c>
      <c r="L17" s="80">
        <f>L18+L19+L20+L21</f>
        <v>103</v>
      </c>
      <c r="M17" s="80">
        <f>M18+M19+M20+M21</f>
        <v>1</v>
      </c>
      <c r="N17" s="80">
        <f>N18+N19+N20+N21</f>
        <v>71</v>
      </c>
      <c r="O17" s="74">
        <f t="shared" si="3"/>
        <v>23.875</v>
      </c>
      <c r="Q17" s="75">
        <f t="shared" si="0"/>
        <v>52</v>
      </c>
      <c r="R17" s="75">
        <f t="shared" si="0"/>
        <v>1243</v>
      </c>
      <c r="S17" s="80">
        <f t="shared" si="0"/>
        <v>627</v>
      </c>
      <c r="T17" s="80">
        <f t="shared" si="0"/>
        <v>29</v>
      </c>
      <c r="U17" s="80">
        <f t="shared" si="0"/>
        <v>296</v>
      </c>
      <c r="V17" s="74">
        <f t="shared" si="2"/>
        <v>23.903846153846153</v>
      </c>
    </row>
    <row r="18" spans="1:22" ht="12">
      <c r="A18" s="193"/>
      <c r="B18" s="144" t="s">
        <v>112</v>
      </c>
      <c r="C18" s="123">
        <v>19</v>
      </c>
      <c r="D18" s="123">
        <v>442</v>
      </c>
      <c r="E18" s="153">
        <v>214</v>
      </c>
      <c r="F18" s="153">
        <v>11</v>
      </c>
      <c r="G18" s="153">
        <v>66</v>
      </c>
      <c r="H18" s="79">
        <f t="shared" si="1"/>
        <v>23.263157894736842</v>
      </c>
      <c r="J18" s="123"/>
      <c r="K18" s="123"/>
      <c r="L18" s="153"/>
      <c r="M18" s="153"/>
      <c r="N18" s="153"/>
      <c r="O18" s="79"/>
      <c r="Q18" s="123">
        <f t="shared" si="0"/>
        <v>19</v>
      </c>
      <c r="R18" s="123">
        <f t="shared" si="0"/>
        <v>442</v>
      </c>
      <c r="S18" s="153">
        <f t="shared" si="0"/>
        <v>214</v>
      </c>
      <c r="T18" s="153">
        <f t="shared" si="0"/>
        <v>11</v>
      </c>
      <c r="U18" s="153">
        <f t="shared" si="0"/>
        <v>66</v>
      </c>
      <c r="V18" s="79">
        <f t="shared" si="2"/>
        <v>23.263157894736842</v>
      </c>
    </row>
    <row r="19" spans="1:22" ht="12">
      <c r="A19" s="193"/>
      <c r="B19" s="144" t="s">
        <v>113</v>
      </c>
      <c r="C19" s="123">
        <v>7</v>
      </c>
      <c r="D19" s="123">
        <v>181</v>
      </c>
      <c r="E19" s="153">
        <v>83</v>
      </c>
      <c r="F19" s="153">
        <v>11</v>
      </c>
      <c r="G19" s="153">
        <v>31</v>
      </c>
      <c r="H19" s="79">
        <f t="shared" si="1"/>
        <v>25.857142857142858</v>
      </c>
      <c r="J19" s="123">
        <v>2</v>
      </c>
      <c r="K19" s="123">
        <v>49</v>
      </c>
      <c r="L19" s="153">
        <v>25</v>
      </c>
      <c r="M19" s="153">
        <v>1</v>
      </c>
      <c r="N19" s="153">
        <v>25</v>
      </c>
      <c r="O19" s="79">
        <f t="shared" si="3"/>
        <v>24.5</v>
      </c>
      <c r="Q19" s="123">
        <f t="shared" si="0"/>
        <v>9</v>
      </c>
      <c r="R19" s="123">
        <f t="shared" si="0"/>
        <v>230</v>
      </c>
      <c r="S19" s="153">
        <f t="shared" si="0"/>
        <v>108</v>
      </c>
      <c r="T19" s="153">
        <f t="shared" si="0"/>
        <v>12</v>
      </c>
      <c r="U19" s="153">
        <f t="shared" si="0"/>
        <v>56</v>
      </c>
      <c r="V19" s="79">
        <f t="shared" si="2"/>
        <v>25.555555555555557</v>
      </c>
    </row>
    <row r="20" spans="1:22" ht="12">
      <c r="A20" s="192"/>
      <c r="B20" s="144" t="s">
        <v>114</v>
      </c>
      <c r="C20" s="123">
        <v>2</v>
      </c>
      <c r="D20" s="123">
        <v>54</v>
      </c>
      <c r="E20" s="153">
        <v>29</v>
      </c>
      <c r="F20" s="153">
        <v>0</v>
      </c>
      <c r="G20" s="153">
        <v>14</v>
      </c>
      <c r="H20" s="79">
        <f t="shared" si="1"/>
        <v>27</v>
      </c>
      <c r="J20" s="123">
        <v>6</v>
      </c>
      <c r="K20" s="123">
        <v>142</v>
      </c>
      <c r="L20" s="153">
        <v>78</v>
      </c>
      <c r="M20" s="153">
        <v>0</v>
      </c>
      <c r="N20" s="153">
        <v>46</v>
      </c>
      <c r="O20" s="79">
        <f t="shared" si="3"/>
        <v>23.666666666666668</v>
      </c>
      <c r="Q20" s="123">
        <f t="shared" si="0"/>
        <v>8</v>
      </c>
      <c r="R20" s="123">
        <f t="shared" si="0"/>
        <v>196</v>
      </c>
      <c r="S20" s="153">
        <f t="shared" si="0"/>
        <v>107</v>
      </c>
      <c r="T20" s="153">
        <f t="shared" si="0"/>
        <v>0</v>
      </c>
      <c r="U20" s="153">
        <f t="shared" si="0"/>
        <v>60</v>
      </c>
      <c r="V20" s="79">
        <f t="shared" si="2"/>
        <v>24.5</v>
      </c>
    </row>
    <row r="21" spans="1:22" ht="12">
      <c r="A21" s="192"/>
      <c r="B21" s="144" t="s">
        <v>115</v>
      </c>
      <c r="C21" s="123">
        <v>16</v>
      </c>
      <c r="D21" s="123">
        <v>375</v>
      </c>
      <c r="E21" s="153">
        <v>198</v>
      </c>
      <c r="F21" s="153">
        <v>6</v>
      </c>
      <c r="G21" s="153">
        <v>114</v>
      </c>
      <c r="H21" s="79">
        <f t="shared" si="1"/>
        <v>23.4375</v>
      </c>
      <c r="J21" s="123"/>
      <c r="K21" s="123"/>
      <c r="L21" s="153"/>
      <c r="M21" s="153"/>
      <c r="N21" s="153"/>
      <c r="O21" s="79"/>
      <c r="Q21" s="123">
        <f t="shared" si="0"/>
        <v>16</v>
      </c>
      <c r="R21" s="123">
        <f t="shared" si="0"/>
        <v>375</v>
      </c>
      <c r="S21" s="153">
        <f t="shared" si="0"/>
        <v>198</v>
      </c>
      <c r="T21" s="153">
        <f t="shared" si="0"/>
        <v>6</v>
      </c>
      <c r="U21" s="153">
        <f t="shared" si="0"/>
        <v>114</v>
      </c>
      <c r="V21" s="79">
        <f t="shared" si="2"/>
        <v>23.4375</v>
      </c>
    </row>
    <row r="22" spans="1:22" ht="12">
      <c r="A22" s="189" t="s">
        <v>116</v>
      </c>
      <c r="B22" s="189"/>
      <c r="C22" s="75">
        <f>C23+C24</f>
        <v>28</v>
      </c>
      <c r="D22" s="75">
        <f>D23+D24</f>
        <v>690</v>
      </c>
      <c r="E22" s="80">
        <f>E23+E24</f>
        <v>360</v>
      </c>
      <c r="F22" s="80">
        <f>F23+F24</f>
        <v>30</v>
      </c>
      <c r="G22" s="80">
        <f>G23+G24</f>
        <v>183</v>
      </c>
      <c r="H22" s="74">
        <f t="shared" si="1"/>
        <v>24.642857142857142</v>
      </c>
      <c r="J22" s="75">
        <f>J23+J24</f>
        <v>26</v>
      </c>
      <c r="K22" s="75">
        <f>K23+K24</f>
        <v>590</v>
      </c>
      <c r="L22" s="80">
        <f>L23+L24</f>
        <v>287</v>
      </c>
      <c r="M22" s="80">
        <f>M23+M24</f>
        <v>12</v>
      </c>
      <c r="N22" s="80">
        <f>N23+N24</f>
        <v>266</v>
      </c>
      <c r="O22" s="74">
        <f t="shared" si="3"/>
        <v>22.692307692307693</v>
      </c>
      <c r="Q22" s="75">
        <f t="shared" si="0"/>
        <v>54</v>
      </c>
      <c r="R22" s="75">
        <f t="shared" si="0"/>
        <v>1280</v>
      </c>
      <c r="S22" s="80">
        <f t="shared" si="0"/>
        <v>647</v>
      </c>
      <c r="T22" s="80">
        <f t="shared" si="0"/>
        <v>42</v>
      </c>
      <c r="U22" s="80">
        <f t="shared" si="0"/>
        <v>449</v>
      </c>
      <c r="V22" s="74">
        <f t="shared" si="2"/>
        <v>23.703703703703702</v>
      </c>
    </row>
    <row r="23" spans="1:22" ht="12">
      <c r="A23" s="193"/>
      <c r="B23" s="144" t="s">
        <v>117</v>
      </c>
      <c r="C23" s="123">
        <v>17</v>
      </c>
      <c r="D23" s="123">
        <v>413</v>
      </c>
      <c r="E23" s="153">
        <v>202</v>
      </c>
      <c r="F23" s="153">
        <v>19</v>
      </c>
      <c r="G23" s="153">
        <v>140</v>
      </c>
      <c r="H23" s="79">
        <f t="shared" si="1"/>
        <v>24.294117647058822</v>
      </c>
      <c r="J23" s="123">
        <v>12</v>
      </c>
      <c r="K23" s="123">
        <v>272</v>
      </c>
      <c r="L23" s="153">
        <v>130</v>
      </c>
      <c r="M23" s="153">
        <v>6</v>
      </c>
      <c r="N23" s="153">
        <v>130</v>
      </c>
      <c r="O23" s="79">
        <f t="shared" si="3"/>
        <v>22.666666666666668</v>
      </c>
      <c r="Q23" s="123">
        <f t="shared" si="0"/>
        <v>29</v>
      </c>
      <c r="R23" s="123">
        <f t="shared" si="0"/>
        <v>685</v>
      </c>
      <c r="S23" s="153">
        <f t="shared" si="0"/>
        <v>332</v>
      </c>
      <c r="T23" s="153">
        <f t="shared" si="0"/>
        <v>25</v>
      </c>
      <c r="U23" s="153">
        <f t="shared" si="0"/>
        <v>270</v>
      </c>
      <c r="V23" s="79">
        <f t="shared" si="2"/>
        <v>23.620689655172413</v>
      </c>
    </row>
    <row r="24" spans="1:22" ht="12">
      <c r="A24" s="193"/>
      <c r="B24" s="144" t="s">
        <v>118</v>
      </c>
      <c r="C24" s="123">
        <v>11</v>
      </c>
      <c r="D24" s="123">
        <v>277</v>
      </c>
      <c r="E24" s="153">
        <v>158</v>
      </c>
      <c r="F24" s="153">
        <v>11</v>
      </c>
      <c r="G24" s="153">
        <v>43</v>
      </c>
      <c r="H24" s="79">
        <f t="shared" si="1"/>
        <v>25.181818181818183</v>
      </c>
      <c r="J24" s="123">
        <v>14</v>
      </c>
      <c r="K24" s="123">
        <v>318</v>
      </c>
      <c r="L24" s="153">
        <v>157</v>
      </c>
      <c r="M24" s="153">
        <v>6</v>
      </c>
      <c r="N24" s="153">
        <v>136</v>
      </c>
      <c r="O24" s="79">
        <f t="shared" si="3"/>
        <v>22.714285714285715</v>
      </c>
      <c r="Q24" s="123">
        <f t="shared" si="0"/>
        <v>25</v>
      </c>
      <c r="R24" s="123">
        <f t="shared" si="0"/>
        <v>595</v>
      </c>
      <c r="S24" s="153">
        <f t="shared" si="0"/>
        <v>315</v>
      </c>
      <c r="T24" s="153">
        <f t="shared" si="0"/>
        <v>17</v>
      </c>
      <c r="U24" s="153">
        <f t="shared" si="0"/>
        <v>179</v>
      </c>
      <c r="V24" s="79">
        <f t="shared" si="2"/>
        <v>23.8</v>
      </c>
    </row>
    <row r="25" spans="1:22" ht="12">
      <c r="A25" s="191" t="s">
        <v>37</v>
      </c>
      <c r="B25" s="191"/>
      <c r="C25" s="75">
        <f>C26+C27+C28+C29</f>
        <v>40</v>
      </c>
      <c r="D25" s="75">
        <f>D26+D27+D28+D29</f>
        <v>939</v>
      </c>
      <c r="E25" s="80">
        <f>E26+E27+E28+E29</f>
        <v>437</v>
      </c>
      <c r="F25" s="80">
        <f>F26+F27+F28+F29</f>
        <v>25</v>
      </c>
      <c r="G25" s="80">
        <f>G26+G27+G28+G29</f>
        <v>62</v>
      </c>
      <c r="H25" s="74">
        <f t="shared" si="1"/>
        <v>23.475</v>
      </c>
      <c r="J25" s="75">
        <f>J26+J27+J28+J29</f>
        <v>5</v>
      </c>
      <c r="K25" s="75">
        <f>K26+K27+K28+K29</f>
        <v>121</v>
      </c>
      <c r="L25" s="80">
        <f>L26+L27+L28+L29</f>
        <v>69</v>
      </c>
      <c r="M25" s="80">
        <f>M26+M27+M28+M29</f>
        <v>2</v>
      </c>
      <c r="N25" s="80">
        <f>N26+N27+N28+N29</f>
        <v>11</v>
      </c>
      <c r="O25" s="74">
        <f t="shared" si="3"/>
        <v>24.2</v>
      </c>
      <c r="Q25" s="75">
        <f t="shared" si="0"/>
        <v>45</v>
      </c>
      <c r="R25" s="75">
        <f t="shared" si="0"/>
        <v>1060</v>
      </c>
      <c r="S25" s="80">
        <f t="shared" si="0"/>
        <v>506</v>
      </c>
      <c r="T25" s="80">
        <f t="shared" si="0"/>
        <v>27</v>
      </c>
      <c r="U25" s="80">
        <f t="shared" si="0"/>
        <v>73</v>
      </c>
      <c r="V25" s="74">
        <f t="shared" si="2"/>
        <v>23.555555555555557</v>
      </c>
    </row>
    <row r="26" spans="1:22" ht="12">
      <c r="A26" s="193"/>
      <c r="B26" s="144" t="s">
        <v>119</v>
      </c>
      <c r="C26" s="123">
        <v>7</v>
      </c>
      <c r="D26" s="123">
        <v>153</v>
      </c>
      <c r="E26" s="153">
        <v>79</v>
      </c>
      <c r="F26" s="153">
        <v>3</v>
      </c>
      <c r="G26" s="153">
        <v>6</v>
      </c>
      <c r="H26" s="79">
        <f t="shared" si="1"/>
        <v>21.857142857142858</v>
      </c>
      <c r="J26" s="123"/>
      <c r="K26" s="123"/>
      <c r="L26" s="153"/>
      <c r="M26" s="153"/>
      <c r="N26" s="153"/>
      <c r="O26" s="79"/>
      <c r="Q26" s="123">
        <f t="shared" si="0"/>
        <v>7</v>
      </c>
      <c r="R26" s="123">
        <f t="shared" si="0"/>
        <v>153</v>
      </c>
      <c r="S26" s="153">
        <f t="shared" si="0"/>
        <v>79</v>
      </c>
      <c r="T26" s="153">
        <f t="shared" si="0"/>
        <v>3</v>
      </c>
      <c r="U26" s="153">
        <f t="shared" si="0"/>
        <v>6</v>
      </c>
      <c r="V26" s="79">
        <f t="shared" si="2"/>
        <v>21.857142857142858</v>
      </c>
    </row>
    <row r="27" spans="1:22" ht="12">
      <c r="A27" s="193"/>
      <c r="B27" s="144" t="s">
        <v>120</v>
      </c>
      <c r="C27" s="123">
        <v>9</v>
      </c>
      <c r="D27" s="123">
        <v>212</v>
      </c>
      <c r="E27" s="153">
        <v>103</v>
      </c>
      <c r="F27" s="153">
        <v>3</v>
      </c>
      <c r="G27" s="153">
        <v>14</v>
      </c>
      <c r="H27" s="79">
        <f t="shared" si="1"/>
        <v>23.555555555555557</v>
      </c>
      <c r="J27" s="123"/>
      <c r="K27" s="123"/>
      <c r="L27" s="153"/>
      <c r="M27" s="153"/>
      <c r="N27" s="153"/>
      <c r="O27" s="79"/>
      <c r="Q27" s="123">
        <f t="shared" si="0"/>
        <v>9</v>
      </c>
      <c r="R27" s="123">
        <f t="shared" si="0"/>
        <v>212</v>
      </c>
      <c r="S27" s="153">
        <f t="shared" si="0"/>
        <v>103</v>
      </c>
      <c r="T27" s="153">
        <f t="shared" si="0"/>
        <v>3</v>
      </c>
      <c r="U27" s="153">
        <f t="shared" si="0"/>
        <v>14</v>
      </c>
      <c r="V27" s="79">
        <f t="shared" si="2"/>
        <v>23.555555555555557</v>
      </c>
    </row>
    <row r="28" spans="1:22" ht="12">
      <c r="A28" s="192"/>
      <c r="B28" s="144" t="s">
        <v>121</v>
      </c>
      <c r="C28" s="123">
        <v>9</v>
      </c>
      <c r="D28" s="123">
        <v>222</v>
      </c>
      <c r="E28" s="153">
        <v>100</v>
      </c>
      <c r="F28" s="153">
        <v>11</v>
      </c>
      <c r="G28" s="153">
        <v>28</v>
      </c>
      <c r="H28" s="79">
        <f t="shared" si="1"/>
        <v>24.666666666666668</v>
      </c>
      <c r="J28" s="123"/>
      <c r="K28" s="123"/>
      <c r="L28" s="153"/>
      <c r="M28" s="153"/>
      <c r="N28" s="153"/>
      <c r="O28" s="79"/>
      <c r="Q28" s="123">
        <f t="shared" si="0"/>
        <v>9</v>
      </c>
      <c r="R28" s="123">
        <f t="shared" si="0"/>
        <v>222</v>
      </c>
      <c r="S28" s="153">
        <f t="shared" si="0"/>
        <v>100</v>
      </c>
      <c r="T28" s="153">
        <f t="shared" si="0"/>
        <v>11</v>
      </c>
      <c r="U28" s="153">
        <f t="shared" si="0"/>
        <v>28</v>
      </c>
      <c r="V28" s="79">
        <f t="shared" si="2"/>
        <v>24.666666666666668</v>
      </c>
    </row>
    <row r="29" spans="1:22" ht="12">
      <c r="A29" s="193"/>
      <c r="B29" s="144" t="s">
        <v>122</v>
      </c>
      <c r="C29" s="123">
        <v>15</v>
      </c>
      <c r="D29" s="123">
        <v>352</v>
      </c>
      <c r="E29" s="153">
        <v>155</v>
      </c>
      <c r="F29" s="153">
        <v>8</v>
      </c>
      <c r="G29" s="153">
        <v>14</v>
      </c>
      <c r="H29" s="79">
        <f t="shared" si="1"/>
        <v>23.466666666666665</v>
      </c>
      <c r="J29" s="123">
        <v>5</v>
      </c>
      <c r="K29" s="123">
        <v>121</v>
      </c>
      <c r="L29" s="153">
        <v>69</v>
      </c>
      <c r="M29" s="153">
        <v>2</v>
      </c>
      <c r="N29" s="153">
        <v>11</v>
      </c>
      <c r="O29" s="79">
        <f t="shared" si="3"/>
        <v>24.2</v>
      </c>
      <c r="Q29" s="123">
        <f t="shared" si="0"/>
        <v>20</v>
      </c>
      <c r="R29" s="123">
        <f t="shared" si="0"/>
        <v>473</v>
      </c>
      <c r="S29" s="153">
        <f t="shared" si="0"/>
        <v>224</v>
      </c>
      <c r="T29" s="153">
        <f t="shared" si="0"/>
        <v>10</v>
      </c>
      <c r="U29" s="153">
        <f t="shared" si="0"/>
        <v>25</v>
      </c>
      <c r="V29" s="79">
        <f t="shared" si="2"/>
        <v>23.65</v>
      </c>
    </row>
    <row r="30" spans="1:22" ht="12">
      <c r="A30" s="191" t="s">
        <v>17</v>
      </c>
      <c r="B30" s="191"/>
      <c r="C30" s="75">
        <f>C31+C32</f>
        <v>26</v>
      </c>
      <c r="D30" s="75">
        <f>D31+D32</f>
        <v>674</v>
      </c>
      <c r="E30" s="80">
        <f>E31+E32</f>
        <v>341</v>
      </c>
      <c r="F30" s="80">
        <f>F31+F32</f>
        <v>31</v>
      </c>
      <c r="G30" s="80">
        <f>G31+G32</f>
        <v>148</v>
      </c>
      <c r="H30" s="74">
        <f t="shared" si="1"/>
        <v>25.923076923076923</v>
      </c>
      <c r="J30" s="75">
        <f>J31+J32</f>
        <v>17</v>
      </c>
      <c r="K30" s="75">
        <f>K31+K32</f>
        <v>414</v>
      </c>
      <c r="L30" s="80">
        <f>L31+L32</f>
        <v>219</v>
      </c>
      <c r="M30" s="80">
        <f>M31+M32</f>
        <v>6</v>
      </c>
      <c r="N30" s="80">
        <f>N31+N32</f>
        <v>144</v>
      </c>
      <c r="O30" s="74">
        <f t="shared" si="3"/>
        <v>24.352941176470587</v>
      </c>
      <c r="Q30" s="75">
        <f t="shared" si="0"/>
        <v>43</v>
      </c>
      <c r="R30" s="75">
        <f t="shared" si="0"/>
        <v>1088</v>
      </c>
      <c r="S30" s="80">
        <f t="shared" si="0"/>
        <v>560</v>
      </c>
      <c r="T30" s="80">
        <f t="shared" si="0"/>
        <v>37</v>
      </c>
      <c r="U30" s="80">
        <f t="shared" si="0"/>
        <v>292</v>
      </c>
      <c r="V30" s="74">
        <f t="shared" si="2"/>
        <v>25.302325581395348</v>
      </c>
    </row>
    <row r="31" spans="1:22" ht="12">
      <c r="A31" s="192"/>
      <c r="B31" s="144" t="s">
        <v>123</v>
      </c>
      <c r="C31" s="123">
        <v>18</v>
      </c>
      <c r="D31" s="123">
        <v>463</v>
      </c>
      <c r="E31" s="153">
        <v>233</v>
      </c>
      <c r="F31" s="153">
        <v>20</v>
      </c>
      <c r="G31" s="153">
        <v>116</v>
      </c>
      <c r="H31" s="79">
        <f t="shared" si="1"/>
        <v>25.72222222222222</v>
      </c>
      <c r="J31" s="123">
        <v>11</v>
      </c>
      <c r="K31" s="123">
        <v>266</v>
      </c>
      <c r="L31" s="153">
        <v>131</v>
      </c>
      <c r="M31" s="153">
        <v>2</v>
      </c>
      <c r="N31" s="153">
        <v>85</v>
      </c>
      <c r="O31" s="79">
        <f t="shared" si="3"/>
        <v>24.181818181818183</v>
      </c>
      <c r="Q31" s="123">
        <f t="shared" si="0"/>
        <v>29</v>
      </c>
      <c r="R31" s="123">
        <f t="shared" si="0"/>
        <v>729</v>
      </c>
      <c r="S31" s="153">
        <f t="shared" si="0"/>
        <v>364</v>
      </c>
      <c r="T31" s="153">
        <f t="shared" si="0"/>
        <v>22</v>
      </c>
      <c r="U31" s="153">
        <f t="shared" si="0"/>
        <v>201</v>
      </c>
      <c r="V31" s="79">
        <f t="shared" si="2"/>
        <v>25.137931034482758</v>
      </c>
    </row>
    <row r="32" spans="1:22" ht="12">
      <c r="A32" s="193"/>
      <c r="B32" s="144" t="s">
        <v>124</v>
      </c>
      <c r="C32" s="123">
        <v>8</v>
      </c>
      <c r="D32" s="123">
        <v>211</v>
      </c>
      <c r="E32" s="153">
        <v>108</v>
      </c>
      <c r="F32" s="153">
        <v>11</v>
      </c>
      <c r="G32" s="153">
        <v>32</v>
      </c>
      <c r="H32" s="79">
        <f t="shared" si="1"/>
        <v>26.375</v>
      </c>
      <c r="J32" s="123">
        <v>6</v>
      </c>
      <c r="K32" s="123">
        <v>148</v>
      </c>
      <c r="L32" s="153">
        <v>88</v>
      </c>
      <c r="M32" s="153">
        <v>4</v>
      </c>
      <c r="N32" s="153">
        <v>59</v>
      </c>
      <c r="O32" s="79">
        <f t="shared" si="3"/>
        <v>24.666666666666668</v>
      </c>
      <c r="Q32" s="123">
        <f t="shared" si="0"/>
        <v>14</v>
      </c>
      <c r="R32" s="123">
        <f t="shared" si="0"/>
        <v>359</v>
      </c>
      <c r="S32" s="153">
        <f t="shared" si="0"/>
        <v>196</v>
      </c>
      <c r="T32" s="153">
        <f t="shared" si="0"/>
        <v>15</v>
      </c>
      <c r="U32" s="153">
        <f t="shared" si="0"/>
        <v>91</v>
      </c>
      <c r="V32" s="79">
        <f t="shared" si="2"/>
        <v>25.642857142857142</v>
      </c>
    </row>
    <row r="33" spans="1:22" ht="12">
      <c r="A33" s="194" t="s">
        <v>125</v>
      </c>
      <c r="B33" s="194"/>
      <c r="C33" s="80">
        <f>+C19+C28+C27+C20</f>
        <v>27</v>
      </c>
      <c r="D33" s="80">
        <f>+D19+D28+D27+D20</f>
        <v>669</v>
      </c>
      <c r="E33" s="80">
        <f>+E19+E28+E27+E20</f>
        <v>315</v>
      </c>
      <c r="F33" s="80">
        <f>+F19+F28+F27+F20</f>
        <v>25</v>
      </c>
      <c r="G33" s="80">
        <f>+G19+G28+G27+G20</f>
        <v>87</v>
      </c>
      <c r="H33" s="195">
        <f t="shared" si="1"/>
        <v>24.77777777777778</v>
      </c>
      <c r="J33" s="80">
        <f>+J19+J28+J27+J20</f>
        <v>8</v>
      </c>
      <c r="K33" s="80">
        <f>+K19+K28+K27+K20</f>
        <v>191</v>
      </c>
      <c r="L33" s="80">
        <f>+L19+L28+L27+L20</f>
        <v>103</v>
      </c>
      <c r="M33" s="80">
        <f>+M19+M28+M27+M20</f>
        <v>1</v>
      </c>
      <c r="N33" s="80">
        <f>+N19+N28+N27+N20</f>
        <v>71</v>
      </c>
      <c r="O33" s="195">
        <f t="shared" si="3"/>
        <v>23.875</v>
      </c>
      <c r="Q33" s="80">
        <f t="shared" si="0"/>
        <v>35</v>
      </c>
      <c r="R33" s="80">
        <f t="shared" si="0"/>
        <v>860</v>
      </c>
      <c r="S33" s="80">
        <f t="shared" si="0"/>
        <v>418</v>
      </c>
      <c r="T33" s="80">
        <f t="shared" si="0"/>
        <v>26</v>
      </c>
      <c r="U33" s="80">
        <f t="shared" si="0"/>
        <v>158</v>
      </c>
      <c r="V33" s="195">
        <f t="shared" si="2"/>
        <v>24.571428571428573</v>
      </c>
    </row>
    <row r="34" spans="1:22" ht="12">
      <c r="A34" s="194" t="s">
        <v>126</v>
      </c>
      <c r="B34" s="194"/>
      <c r="C34" s="80">
        <f>+C10+C11+C12+C14+C15+C16+C18+C21+C23+C24+C26+C29+C31+C32</f>
        <v>188</v>
      </c>
      <c r="D34" s="80">
        <f>+D10+D11+D12+D14+D15+D16+D18+D21+D23+D24+D26+D29+D31+D32</f>
        <v>4610</v>
      </c>
      <c r="E34" s="80">
        <f>+E10+E11+E12+E14+E15+E16+E18+E21+E23+E24+E26+E29+E31+E32</f>
        <v>2328</v>
      </c>
      <c r="F34" s="80">
        <f>+F10+F11+F12+F14+F15+F16+F18+F21+F23+F24+F26+F29+F31+F32</f>
        <v>149</v>
      </c>
      <c r="G34" s="80">
        <f>+G10+G11+G12+G14+G15+G16+G18+G21+G23+G24+G26+G29+G31+G32</f>
        <v>1236</v>
      </c>
      <c r="H34" s="195">
        <f t="shared" si="1"/>
        <v>24.52127659574468</v>
      </c>
      <c r="J34" s="80">
        <f>+J10+J11+J12+J14+J15+J16+J18+J21+J23+J24+J26+J29+J31+J32</f>
        <v>72</v>
      </c>
      <c r="K34" s="80">
        <f>+K10+K11+K12+K14+K15+K16+K18+K21+K23+K24+K26+K29+K31+K32</f>
        <v>1693</v>
      </c>
      <c r="L34" s="80">
        <f>+L10+L11+L12+L14+L15+L16+L18+L21+L23+L24+L26+L29+L31+L32</f>
        <v>863</v>
      </c>
      <c r="M34" s="80">
        <f>+M10+M11+M12+M14+M15+M16+M18+M21+M23+M24+M26+M29+M31+M32</f>
        <v>27</v>
      </c>
      <c r="N34" s="80">
        <f>+N10+N11+N12+N14+N15+N16+N18+N21+N23+N24+N26+N29+N31+N32</f>
        <v>753</v>
      </c>
      <c r="O34" s="195">
        <f t="shared" si="3"/>
        <v>23.51388888888889</v>
      </c>
      <c r="Q34" s="80">
        <f t="shared" si="0"/>
        <v>260</v>
      </c>
      <c r="R34" s="80">
        <f t="shared" si="0"/>
        <v>6303</v>
      </c>
      <c r="S34" s="80">
        <f t="shared" si="0"/>
        <v>3191</v>
      </c>
      <c r="T34" s="80">
        <f t="shared" si="0"/>
        <v>176</v>
      </c>
      <c r="U34" s="80">
        <f t="shared" si="0"/>
        <v>1989</v>
      </c>
      <c r="V34" s="195">
        <f t="shared" si="2"/>
        <v>24.24230769230769</v>
      </c>
    </row>
    <row r="35" spans="1:22" ht="12">
      <c r="A35" s="196" t="s">
        <v>48</v>
      </c>
      <c r="B35" s="196"/>
      <c r="C35" s="171">
        <f>+C9+C13+C17+C22+C25+C30</f>
        <v>215</v>
      </c>
      <c r="D35" s="171">
        <f>+D9+D13+D17+D22+D25+D30</f>
        <v>5279</v>
      </c>
      <c r="E35" s="93">
        <f>+E9+E13+E17+E22+E25+E30</f>
        <v>2643</v>
      </c>
      <c r="F35" s="93">
        <f>+F9+F13+F17+F22+F25+F30</f>
        <v>174</v>
      </c>
      <c r="G35" s="93">
        <f>+G9+G13+G17+G22+G25+G30</f>
        <v>1323</v>
      </c>
      <c r="H35" s="94">
        <f t="shared" si="1"/>
        <v>24.553488372093025</v>
      </c>
      <c r="J35" s="171">
        <f>+J9+J13+J17+J22+J25+J30</f>
        <v>80</v>
      </c>
      <c r="K35" s="171">
        <f>+K9+K13+K17+K22+K25+K30</f>
        <v>1884</v>
      </c>
      <c r="L35" s="93">
        <f>+L9+L13+L17+L22+L25+L30</f>
        <v>966</v>
      </c>
      <c r="M35" s="93">
        <f>+M9+M13+M17+M22+M25+M30</f>
        <v>28</v>
      </c>
      <c r="N35" s="93">
        <f>+N9+N13+N17+N22+N25+N30</f>
        <v>824</v>
      </c>
      <c r="O35" s="94">
        <f t="shared" si="3"/>
        <v>23.55</v>
      </c>
      <c r="Q35" s="171">
        <f t="shared" si="0"/>
        <v>295</v>
      </c>
      <c r="R35" s="171">
        <f t="shared" si="0"/>
        <v>7163</v>
      </c>
      <c r="S35" s="93">
        <f t="shared" si="0"/>
        <v>3609</v>
      </c>
      <c r="T35" s="93">
        <f t="shared" si="0"/>
        <v>202</v>
      </c>
      <c r="U35" s="93">
        <f t="shared" si="0"/>
        <v>2147</v>
      </c>
      <c r="V35" s="94">
        <f t="shared" si="2"/>
        <v>24.28135593220339</v>
      </c>
    </row>
    <row r="36" spans="1:22" ht="12">
      <c r="A36" s="97" t="s">
        <v>129</v>
      </c>
      <c r="B36" s="106"/>
      <c r="C36" s="107"/>
      <c r="D36" s="106"/>
      <c r="E36" s="106"/>
      <c r="F36" s="106"/>
      <c r="G36" s="106"/>
      <c r="H36" s="107"/>
      <c r="I36" s="107"/>
      <c r="J36" s="108"/>
      <c r="K36" s="108"/>
      <c r="L36" s="197"/>
      <c r="M36" s="108"/>
      <c r="N36" s="109"/>
      <c r="O36" s="109"/>
      <c r="P36" s="106"/>
      <c r="Q36" s="106"/>
      <c r="T36" s="106"/>
      <c r="U36" s="106"/>
      <c r="V36" s="106"/>
    </row>
    <row r="37" spans="1:22" ht="12">
      <c r="A37" s="97" t="s">
        <v>59</v>
      </c>
      <c r="B37" s="106"/>
      <c r="C37" s="107"/>
      <c r="D37" s="106"/>
      <c r="E37" s="106"/>
      <c r="F37" s="106"/>
      <c r="G37" s="106"/>
      <c r="H37" s="107"/>
      <c r="I37" s="107"/>
      <c r="J37" s="108"/>
      <c r="K37" s="108"/>
      <c r="L37" s="197"/>
      <c r="M37" s="108"/>
      <c r="N37" s="109"/>
      <c r="O37" s="109"/>
      <c r="P37" s="106"/>
      <c r="Q37" s="106"/>
      <c r="R37" s="106"/>
      <c r="S37" s="106"/>
      <c r="T37" s="106"/>
      <c r="U37" s="106"/>
      <c r="V37" s="106"/>
    </row>
    <row r="38" spans="1:22" ht="12">
      <c r="A38" s="105" t="s">
        <v>60</v>
      </c>
      <c r="B38" s="106"/>
      <c r="C38" s="107"/>
      <c r="D38" s="106"/>
      <c r="E38" s="106"/>
      <c r="F38" s="106"/>
      <c r="G38" s="106"/>
      <c r="H38" s="107"/>
      <c r="I38" s="107"/>
      <c r="J38" s="108"/>
      <c r="K38" s="108"/>
      <c r="L38" s="108"/>
      <c r="M38" s="108"/>
      <c r="N38" s="109"/>
      <c r="O38" s="109"/>
      <c r="P38" s="106"/>
      <c r="Q38" s="106"/>
      <c r="R38" s="106"/>
      <c r="S38" s="106"/>
      <c r="T38" s="106"/>
      <c r="U38" s="106"/>
      <c r="V38" s="106"/>
    </row>
    <row r="39" spans="1:22" ht="12">
      <c r="A39" s="105" t="s">
        <v>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6"/>
      <c r="Q39" s="106"/>
      <c r="R39" s="106"/>
      <c r="S39" s="106"/>
      <c r="T39" s="106"/>
      <c r="U39" s="106"/>
      <c r="V39" s="106"/>
    </row>
    <row r="40" spans="1:22" ht="12">
      <c r="A40" s="97" t="s">
        <v>85</v>
      </c>
      <c r="B40" s="106"/>
      <c r="C40" s="107"/>
      <c r="D40" s="107"/>
      <c r="E40" s="106"/>
      <c r="F40" s="106"/>
      <c r="G40" s="106"/>
      <c r="H40" s="107"/>
      <c r="I40" s="108"/>
      <c r="J40" s="108"/>
      <c r="K40" s="108"/>
      <c r="L40" s="109"/>
      <c r="M40" s="106"/>
      <c r="N40" s="106"/>
      <c r="O40" s="106"/>
      <c r="P40" s="106"/>
      <c r="Q40" s="106"/>
      <c r="R40" s="106"/>
      <c r="S40" s="106"/>
      <c r="T40" s="144"/>
      <c r="U40" s="144"/>
      <c r="V40" s="144"/>
    </row>
    <row r="41" spans="1:19" ht="12">
      <c r="A41" s="97" t="s">
        <v>90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96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ht="12">
      <c r="A45" s="97" t="s">
        <v>101</v>
      </c>
    </row>
    <row r="46" ht="12">
      <c r="A46" s="109" t="s">
        <v>135</v>
      </c>
    </row>
    <row r="47" ht="12">
      <c r="A47" s="109" t="s">
        <v>136</v>
      </c>
    </row>
    <row r="48" ht="12">
      <c r="A48" s="109" t="s">
        <v>137</v>
      </c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  <headerFooter alignWithMargins="0">
    <oddHeader>&amp;R400042.xls</oddHeader>
    <oddFooter>&amp;LComune di Bologna - Dipartimento Programmazione</oddFooter>
  </headerFooter>
  <ignoredErrors>
    <ignoredError sqref="C9:V35" unlockedFormula="1"/>
    <ignoredError sqref="E8:U8 O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15.25390625" style="21" bestFit="1" customWidth="1"/>
    <col min="3" max="6" width="8.125" style="21" customWidth="1"/>
    <col min="7" max="7" width="7.875" style="21" bestFit="1" customWidth="1"/>
    <col min="8" max="8" width="9.125" style="21" customWidth="1"/>
    <col min="9" max="9" width="2.125" style="21" customWidth="1"/>
    <col min="10" max="12" width="8.125" style="21" customWidth="1"/>
    <col min="13" max="13" width="6.875" style="21" customWidth="1"/>
    <col min="14" max="14" width="7.875" style="21" bestFit="1" customWidth="1"/>
    <col min="15" max="15" width="8.125" style="21" customWidth="1"/>
    <col min="16" max="16" width="2.25390625" style="21" customWidth="1"/>
    <col min="17" max="18" width="8.125" style="21" customWidth="1"/>
    <col min="19" max="19" width="7.125" style="21" customWidth="1"/>
    <col min="20" max="20" width="8.875" style="21" bestFit="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102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49"/>
      <c r="U2" s="49"/>
      <c r="V2" s="49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53" t="s">
        <v>103</v>
      </c>
      <c r="C3" s="202" t="s">
        <v>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3"/>
      <c r="X3" s="23"/>
      <c r="Y3" s="23"/>
      <c r="Z3" s="23"/>
      <c r="AA3" s="23"/>
      <c r="AB3" s="23"/>
      <c r="AC3" s="23"/>
      <c r="AD3" s="23"/>
    </row>
    <row r="4" spans="1:30" ht="12">
      <c r="A4" s="187"/>
      <c r="B4" s="187"/>
      <c r="C4" s="203" t="s">
        <v>2</v>
      </c>
      <c r="D4" s="203"/>
      <c r="E4" s="203"/>
      <c r="F4" s="203"/>
      <c r="G4" s="203"/>
      <c r="H4" s="203"/>
      <c r="I4" s="115"/>
      <c r="J4" s="203" t="s">
        <v>3</v>
      </c>
      <c r="K4" s="203"/>
      <c r="L4" s="203"/>
      <c r="M4" s="203"/>
      <c r="N4" s="203"/>
      <c r="O4" s="203"/>
      <c r="P4" s="115"/>
      <c r="Q4" s="203" t="s">
        <v>20</v>
      </c>
      <c r="R4" s="203"/>
      <c r="S4" s="203"/>
      <c r="T4" s="203"/>
      <c r="U4" s="203"/>
      <c r="V4" s="203"/>
      <c r="W4" s="24"/>
      <c r="X4" s="24"/>
      <c r="Y4" s="24"/>
      <c r="Z4" s="24"/>
      <c r="AA4" s="23"/>
      <c r="AB4" s="23"/>
      <c r="AC4" s="23"/>
      <c r="AD4" s="24"/>
    </row>
    <row r="5" spans="1:29" ht="12">
      <c r="A5" s="187"/>
      <c r="B5" s="187"/>
      <c r="C5" s="57" t="s">
        <v>4</v>
      </c>
      <c r="D5" s="202" t="s">
        <v>5</v>
      </c>
      <c r="E5" s="202"/>
      <c r="F5" s="202"/>
      <c r="G5" s="202"/>
      <c r="H5" s="202"/>
      <c r="I5" s="112"/>
      <c r="J5" s="57" t="s">
        <v>4</v>
      </c>
      <c r="K5" s="204" t="s">
        <v>5</v>
      </c>
      <c r="L5" s="204"/>
      <c r="M5" s="204"/>
      <c r="N5" s="204"/>
      <c r="O5" s="204"/>
      <c r="P5" s="112"/>
      <c r="Q5" s="57" t="s">
        <v>4</v>
      </c>
      <c r="R5" s="204" t="s">
        <v>5</v>
      </c>
      <c r="S5" s="204"/>
      <c r="T5" s="204"/>
      <c r="U5" s="204"/>
      <c r="V5" s="204"/>
      <c r="AA5" s="24"/>
      <c r="AB5" s="24"/>
      <c r="AC5" s="24"/>
    </row>
    <row r="6" spans="1:22" ht="12">
      <c r="A6" s="187"/>
      <c r="B6" s="187"/>
      <c r="C6" s="58"/>
      <c r="D6" s="58" t="s">
        <v>6</v>
      </c>
      <c r="E6" s="59" t="s">
        <v>19</v>
      </c>
      <c r="F6" s="59" t="s">
        <v>19</v>
      </c>
      <c r="G6" s="59" t="s">
        <v>19</v>
      </c>
      <c r="H6" s="58" t="s">
        <v>22</v>
      </c>
      <c r="I6" s="58"/>
      <c r="J6" s="58"/>
      <c r="K6" s="58" t="s">
        <v>6</v>
      </c>
      <c r="L6" s="59" t="s">
        <v>19</v>
      </c>
      <c r="M6" s="59" t="s">
        <v>19</v>
      </c>
      <c r="N6" s="59" t="s">
        <v>19</v>
      </c>
      <c r="O6" s="58" t="s">
        <v>22</v>
      </c>
      <c r="P6" s="58"/>
      <c r="Q6" s="58"/>
      <c r="R6" s="58" t="s">
        <v>6</v>
      </c>
      <c r="S6" s="59" t="s">
        <v>19</v>
      </c>
      <c r="T6" s="59" t="s">
        <v>19</v>
      </c>
      <c r="U6" s="59" t="s">
        <v>19</v>
      </c>
      <c r="V6" s="58" t="s">
        <v>22</v>
      </c>
    </row>
    <row r="7" spans="1:22" ht="12">
      <c r="A7" s="187"/>
      <c r="B7" s="187"/>
      <c r="C7" s="58"/>
      <c r="D7" s="58"/>
      <c r="E7" s="59" t="s">
        <v>57</v>
      </c>
      <c r="F7" s="59" t="s">
        <v>27</v>
      </c>
      <c r="G7" s="59" t="s">
        <v>23</v>
      </c>
      <c r="H7" s="133" t="s">
        <v>24</v>
      </c>
      <c r="I7" s="58"/>
      <c r="J7" s="58"/>
      <c r="K7" s="58"/>
      <c r="L7" s="59" t="s">
        <v>57</v>
      </c>
      <c r="M7" s="59" t="s">
        <v>27</v>
      </c>
      <c r="N7" s="59" t="s">
        <v>23</v>
      </c>
      <c r="O7" s="133" t="s">
        <v>24</v>
      </c>
      <c r="P7" s="58"/>
      <c r="Q7" s="58"/>
      <c r="R7" s="58"/>
      <c r="S7" s="59" t="s">
        <v>57</v>
      </c>
      <c r="T7" s="59" t="s">
        <v>27</v>
      </c>
      <c r="U7" s="59" t="s">
        <v>23</v>
      </c>
      <c r="V7" s="133" t="s">
        <v>24</v>
      </c>
    </row>
    <row r="8" spans="1:22" ht="12">
      <c r="A8" s="188"/>
      <c r="B8" s="188"/>
      <c r="C8" s="64"/>
      <c r="D8" s="64"/>
      <c r="E8" s="65" t="s">
        <v>49</v>
      </c>
      <c r="F8" s="66" t="s">
        <v>28</v>
      </c>
      <c r="G8" s="65" t="s">
        <v>58</v>
      </c>
      <c r="H8" s="68"/>
      <c r="I8" s="68"/>
      <c r="J8" s="64"/>
      <c r="K8" s="64"/>
      <c r="L8" s="65" t="s">
        <v>49</v>
      </c>
      <c r="M8" s="66" t="s">
        <v>28</v>
      </c>
      <c r="N8" s="65" t="s">
        <v>58</v>
      </c>
      <c r="O8" s="68"/>
      <c r="P8" s="68"/>
      <c r="Q8" s="64"/>
      <c r="R8" s="64"/>
      <c r="S8" s="65" t="s">
        <v>49</v>
      </c>
      <c r="T8" s="66" t="s">
        <v>28</v>
      </c>
      <c r="U8" s="65" t="s">
        <v>58</v>
      </c>
      <c r="V8" s="68"/>
    </row>
    <row r="9" spans="1:22" ht="12">
      <c r="A9" s="189" t="s">
        <v>104</v>
      </c>
      <c r="B9" s="189"/>
      <c r="C9" s="75">
        <f>C10+C11+C12</f>
        <v>44</v>
      </c>
      <c r="D9" s="75">
        <f>D10+D11+D12</f>
        <v>1070</v>
      </c>
      <c r="E9" s="80">
        <f>E10+E11+E12</f>
        <v>558</v>
      </c>
      <c r="F9" s="80">
        <f>F10+F11+F12</f>
        <v>31</v>
      </c>
      <c r="G9" s="80">
        <f>G10+G11+G12</f>
        <v>380</v>
      </c>
      <c r="H9" s="74">
        <f>D9/C9</f>
        <v>24.318181818181817</v>
      </c>
      <c r="J9" s="75">
        <f>J10+J11+J12</f>
        <v>6</v>
      </c>
      <c r="K9" s="75">
        <f>K10+K11+K12</f>
        <v>136</v>
      </c>
      <c r="L9" s="80">
        <f>L10+L11+L12</f>
        <v>69</v>
      </c>
      <c r="M9" s="80">
        <f>M10+M11+M12</f>
        <v>2</v>
      </c>
      <c r="N9" s="80">
        <f>N10+N11+N12</f>
        <v>57</v>
      </c>
      <c r="O9" s="74">
        <f>K9/J9</f>
        <v>22.666666666666668</v>
      </c>
      <c r="Q9" s="75">
        <f aca="true" t="shared" si="0" ref="Q9:U35">J9+C9</f>
        <v>50</v>
      </c>
      <c r="R9" s="190">
        <f t="shared" si="0"/>
        <v>1206</v>
      </c>
      <c r="S9" s="80">
        <f t="shared" si="0"/>
        <v>627</v>
      </c>
      <c r="T9" s="164">
        <f t="shared" si="0"/>
        <v>33</v>
      </c>
      <c r="U9" s="164">
        <f>N9+G9</f>
        <v>437</v>
      </c>
      <c r="V9" s="74">
        <f>R9/Q9</f>
        <v>24.12</v>
      </c>
    </row>
    <row r="10" spans="1:22" ht="12">
      <c r="A10" s="144"/>
      <c r="B10" s="144" t="s">
        <v>105</v>
      </c>
      <c r="C10" s="123">
        <v>13</v>
      </c>
      <c r="D10" s="123">
        <v>308</v>
      </c>
      <c r="E10" s="153">
        <v>162</v>
      </c>
      <c r="F10" s="153">
        <v>2</v>
      </c>
      <c r="G10" s="153">
        <v>78</v>
      </c>
      <c r="H10" s="79">
        <f>D10/C10</f>
        <v>23.692307692307693</v>
      </c>
      <c r="J10" s="123">
        <v>4</v>
      </c>
      <c r="K10" s="123">
        <v>86</v>
      </c>
      <c r="L10" s="153">
        <v>42</v>
      </c>
      <c r="M10" s="153">
        <v>1</v>
      </c>
      <c r="N10" s="153">
        <v>40</v>
      </c>
      <c r="O10" s="79">
        <f>K10/J10</f>
        <v>21.5</v>
      </c>
      <c r="Q10" s="123">
        <f t="shared" si="0"/>
        <v>17</v>
      </c>
      <c r="R10" s="123">
        <f t="shared" si="0"/>
        <v>394</v>
      </c>
      <c r="S10" s="153">
        <f t="shared" si="0"/>
        <v>204</v>
      </c>
      <c r="T10" s="153">
        <f t="shared" si="0"/>
        <v>3</v>
      </c>
      <c r="U10" s="153">
        <f t="shared" si="0"/>
        <v>118</v>
      </c>
      <c r="V10" s="79">
        <f>R10/Q10</f>
        <v>23.176470588235293</v>
      </c>
    </row>
    <row r="11" spans="1:22" ht="12">
      <c r="A11" s="144"/>
      <c r="B11" s="144" t="s">
        <v>106</v>
      </c>
      <c r="C11" s="123">
        <v>21</v>
      </c>
      <c r="D11" s="123">
        <v>521</v>
      </c>
      <c r="E11" s="153">
        <v>258</v>
      </c>
      <c r="F11" s="153">
        <v>21</v>
      </c>
      <c r="G11" s="153">
        <v>207</v>
      </c>
      <c r="H11" s="79">
        <f aca="true" t="shared" si="1" ref="H11:H35">D11/C11</f>
        <v>24.80952380952381</v>
      </c>
      <c r="J11" s="123"/>
      <c r="K11" s="123"/>
      <c r="L11" s="153"/>
      <c r="M11" s="153"/>
      <c r="N11" s="153"/>
      <c r="O11" s="79"/>
      <c r="Q11" s="123">
        <f t="shared" si="0"/>
        <v>21</v>
      </c>
      <c r="R11" s="123">
        <f t="shared" si="0"/>
        <v>521</v>
      </c>
      <c r="S11" s="153">
        <f t="shared" si="0"/>
        <v>258</v>
      </c>
      <c r="T11" s="153">
        <f t="shared" si="0"/>
        <v>21</v>
      </c>
      <c r="U11" s="153">
        <f t="shared" si="0"/>
        <v>207</v>
      </c>
      <c r="V11" s="79">
        <f aca="true" t="shared" si="2" ref="V11:V35">R11/Q11</f>
        <v>24.80952380952381</v>
      </c>
    </row>
    <row r="12" spans="1:22" ht="12">
      <c r="A12" s="144"/>
      <c r="B12" s="144" t="s">
        <v>107</v>
      </c>
      <c r="C12" s="123">
        <v>10</v>
      </c>
      <c r="D12" s="123">
        <v>241</v>
      </c>
      <c r="E12" s="153">
        <v>138</v>
      </c>
      <c r="F12" s="153">
        <v>8</v>
      </c>
      <c r="G12" s="153">
        <v>95</v>
      </c>
      <c r="H12" s="79">
        <f t="shared" si="1"/>
        <v>24.1</v>
      </c>
      <c r="J12" s="123">
        <v>2</v>
      </c>
      <c r="K12" s="123">
        <v>50</v>
      </c>
      <c r="L12" s="153">
        <v>27</v>
      </c>
      <c r="M12" s="153">
        <v>1</v>
      </c>
      <c r="N12" s="153">
        <v>17</v>
      </c>
      <c r="O12" s="79">
        <f aca="true" t="shared" si="3" ref="O12:O35">K12/J12</f>
        <v>25</v>
      </c>
      <c r="Q12" s="123">
        <f t="shared" si="0"/>
        <v>12</v>
      </c>
      <c r="R12" s="123">
        <f t="shared" si="0"/>
        <v>291</v>
      </c>
      <c r="S12" s="153">
        <f t="shared" si="0"/>
        <v>165</v>
      </c>
      <c r="T12" s="153">
        <f t="shared" si="0"/>
        <v>9</v>
      </c>
      <c r="U12" s="153">
        <f t="shared" si="0"/>
        <v>112</v>
      </c>
      <c r="V12" s="79">
        <f t="shared" si="2"/>
        <v>24.25</v>
      </c>
    </row>
    <row r="13" spans="1:22" ht="12">
      <c r="A13" s="191" t="s">
        <v>10</v>
      </c>
      <c r="B13" s="191"/>
      <c r="C13" s="75">
        <f>C14+C15+C16</f>
        <v>33</v>
      </c>
      <c r="D13" s="75">
        <f>D14+D15+D16</f>
        <v>829</v>
      </c>
      <c r="E13" s="80">
        <f>E14+E15+E16</f>
        <v>415</v>
      </c>
      <c r="F13" s="80">
        <f>F14+F15+F16</f>
        <v>31</v>
      </c>
      <c r="G13" s="80">
        <f>G14+G15+G16</f>
        <v>310</v>
      </c>
      <c r="H13" s="74">
        <f t="shared" si="1"/>
        <v>25.12121212121212</v>
      </c>
      <c r="J13" s="75">
        <f>J14+J15+J16</f>
        <v>18</v>
      </c>
      <c r="K13" s="75">
        <f>K14+K15+K16</f>
        <v>421</v>
      </c>
      <c r="L13" s="80">
        <f>L14+L15+L16</f>
        <v>201</v>
      </c>
      <c r="M13" s="80">
        <f>M14+M15+M16</f>
        <v>9</v>
      </c>
      <c r="N13" s="80">
        <f>N14+N15+N16</f>
        <v>265</v>
      </c>
      <c r="O13" s="74">
        <f t="shared" si="3"/>
        <v>23.38888888888889</v>
      </c>
      <c r="Q13" s="75">
        <f t="shared" si="0"/>
        <v>51</v>
      </c>
      <c r="R13" s="75">
        <f t="shared" si="0"/>
        <v>1250</v>
      </c>
      <c r="S13" s="80">
        <f t="shared" si="0"/>
        <v>616</v>
      </c>
      <c r="T13" s="80">
        <f t="shared" si="0"/>
        <v>40</v>
      </c>
      <c r="U13" s="80">
        <f t="shared" si="0"/>
        <v>575</v>
      </c>
      <c r="V13" s="74">
        <f t="shared" si="2"/>
        <v>24.50980392156863</v>
      </c>
    </row>
    <row r="14" spans="1:22" ht="12">
      <c r="A14" s="192"/>
      <c r="B14" s="144" t="s">
        <v>108</v>
      </c>
      <c r="C14" s="123">
        <v>17</v>
      </c>
      <c r="D14" s="123">
        <v>428</v>
      </c>
      <c r="E14" s="153">
        <v>213</v>
      </c>
      <c r="F14" s="153">
        <v>18</v>
      </c>
      <c r="G14" s="153">
        <v>175</v>
      </c>
      <c r="H14" s="79">
        <f t="shared" si="1"/>
        <v>25.176470588235293</v>
      </c>
      <c r="J14" s="123">
        <v>10</v>
      </c>
      <c r="K14" s="123">
        <v>231</v>
      </c>
      <c r="L14" s="153">
        <v>113</v>
      </c>
      <c r="M14" s="153">
        <v>5</v>
      </c>
      <c r="N14" s="153">
        <v>168</v>
      </c>
      <c r="O14" s="79">
        <f t="shared" si="3"/>
        <v>23.1</v>
      </c>
      <c r="Q14" s="123">
        <f t="shared" si="0"/>
        <v>27</v>
      </c>
      <c r="R14" s="123">
        <f t="shared" si="0"/>
        <v>659</v>
      </c>
      <c r="S14" s="153">
        <f t="shared" si="0"/>
        <v>326</v>
      </c>
      <c r="T14" s="153">
        <f t="shared" si="0"/>
        <v>23</v>
      </c>
      <c r="U14" s="153">
        <f t="shared" si="0"/>
        <v>343</v>
      </c>
      <c r="V14" s="79">
        <f t="shared" si="2"/>
        <v>24.40740740740741</v>
      </c>
    </row>
    <row r="15" spans="1:22" ht="12">
      <c r="A15" s="193"/>
      <c r="B15" s="144" t="s">
        <v>109</v>
      </c>
      <c r="C15" s="123">
        <v>10</v>
      </c>
      <c r="D15" s="123">
        <v>259</v>
      </c>
      <c r="E15" s="153">
        <v>123</v>
      </c>
      <c r="F15" s="153">
        <v>8</v>
      </c>
      <c r="G15" s="153">
        <v>88</v>
      </c>
      <c r="H15" s="79">
        <f t="shared" si="1"/>
        <v>25.9</v>
      </c>
      <c r="J15" s="123">
        <v>4</v>
      </c>
      <c r="K15" s="123">
        <v>100</v>
      </c>
      <c r="L15" s="153">
        <v>45</v>
      </c>
      <c r="M15" s="153">
        <v>2</v>
      </c>
      <c r="N15" s="153">
        <v>45</v>
      </c>
      <c r="O15" s="79">
        <f t="shared" si="3"/>
        <v>25</v>
      </c>
      <c r="Q15" s="123">
        <f t="shared" si="0"/>
        <v>14</v>
      </c>
      <c r="R15" s="123">
        <f t="shared" si="0"/>
        <v>359</v>
      </c>
      <c r="S15" s="153">
        <f t="shared" si="0"/>
        <v>168</v>
      </c>
      <c r="T15" s="153">
        <f t="shared" si="0"/>
        <v>10</v>
      </c>
      <c r="U15" s="153">
        <f t="shared" si="0"/>
        <v>133</v>
      </c>
      <c r="V15" s="79">
        <f t="shared" si="2"/>
        <v>25.642857142857142</v>
      </c>
    </row>
    <row r="16" spans="1:22" ht="12">
      <c r="A16" s="193"/>
      <c r="B16" s="144" t="s">
        <v>110</v>
      </c>
      <c r="C16" s="123">
        <v>6</v>
      </c>
      <c r="D16" s="123">
        <v>142</v>
      </c>
      <c r="E16" s="153">
        <v>79</v>
      </c>
      <c r="F16" s="153">
        <v>5</v>
      </c>
      <c r="G16" s="153">
        <v>47</v>
      </c>
      <c r="H16" s="79">
        <f t="shared" si="1"/>
        <v>23.666666666666668</v>
      </c>
      <c r="J16" s="123">
        <v>4</v>
      </c>
      <c r="K16" s="123">
        <v>90</v>
      </c>
      <c r="L16" s="153">
        <v>43</v>
      </c>
      <c r="M16" s="153">
        <v>2</v>
      </c>
      <c r="N16" s="153">
        <v>52</v>
      </c>
      <c r="O16" s="79">
        <f t="shared" si="3"/>
        <v>22.5</v>
      </c>
      <c r="Q16" s="123">
        <f t="shared" si="0"/>
        <v>10</v>
      </c>
      <c r="R16" s="123">
        <f t="shared" si="0"/>
        <v>232</v>
      </c>
      <c r="S16" s="153">
        <f t="shared" si="0"/>
        <v>122</v>
      </c>
      <c r="T16" s="153">
        <f t="shared" si="0"/>
        <v>7</v>
      </c>
      <c r="U16" s="153">
        <f t="shared" si="0"/>
        <v>99</v>
      </c>
      <c r="V16" s="79">
        <f t="shared" si="2"/>
        <v>23.2</v>
      </c>
    </row>
    <row r="17" spans="1:22" ht="12">
      <c r="A17" s="191" t="s">
        <v>111</v>
      </c>
      <c r="B17" s="191"/>
      <c r="C17" s="75">
        <f>C18+C19+C20+C21</f>
        <v>44</v>
      </c>
      <c r="D17" s="75">
        <f>D18+D19+D20+D21</f>
        <v>1062</v>
      </c>
      <c r="E17" s="80">
        <f>E18+E19+E20+E21</f>
        <v>504</v>
      </c>
      <c r="F17" s="80">
        <f>F18+F19+F20+F21</f>
        <v>30</v>
      </c>
      <c r="G17" s="80">
        <f>G18+G19+G20+G21</f>
        <v>227</v>
      </c>
      <c r="H17" s="74">
        <f t="shared" si="1"/>
        <v>24.136363636363637</v>
      </c>
      <c r="J17" s="75">
        <f>J18+J19+J20+J21</f>
        <v>8</v>
      </c>
      <c r="K17" s="75">
        <f>K18+K19+K20+K21</f>
        <v>194</v>
      </c>
      <c r="L17" s="80">
        <f>L18+L19+L20+L21</f>
        <v>107</v>
      </c>
      <c r="M17" s="80">
        <f>M18+M19+M20+M21</f>
        <v>2</v>
      </c>
      <c r="N17" s="80">
        <f>N18+N19+N20+N21</f>
        <v>74</v>
      </c>
      <c r="O17" s="74">
        <f t="shared" si="3"/>
        <v>24.25</v>
      </c>
      <c r="Q17" s="75">
        <f t="shared" si="0"/>
        <v>52</v>
      </c>
      <c r="R17" s="75">
        <f t="shared" si="0"/>
        <v>1256</v>
      </c>
      <c r="S17" s="80">
        <f t="shared" si="0"/>
        <v>611</v>
      </c>
      <c r="T17" s="80">
        <f t="shared" si="0"/>
        <v>32</v>
      </c>
      <c r="U17" s="80">
        <f t="shared" si="0"/>
        <v>301</v>
      </c>
      <c r="V17" s="74">
        <f t="shared" si="2"/>
        <v>24.153846153846153</v>
      </c>
    </row>
    <row r="18" spans="1:22" ht="12">
      <c r="A18" s="193"/>
      <c r="B18" s="144" t="s">
        <v>112</v>
      </c>
      <c r="C18" s="123">
        <v>19</v>
      </c>
      <c r="D18" s="123">
        <v>443</v>
      </c>
      <c r="E18" s="153">
        <v>207</v>
      </c>
      <c r="F18" s="153">
        <v>10</v>
      </c>
      <c r="G18" s="153">
        <v>80</v>
      </c>
      <c r="H18" s="79">
        <f t="shared" si="1"/>
        <v>23.31578947368421</v>
      </c>
      <c r="J18" s="123"/>
      <c r="K18" s="123"/>
      <c r="L18" s="153"/>
      <c r="M18" s="153"/>
      <c r="N18" s="153"/>
      <c r="O18" s="79"/>
      <c r="Q18" s="123">
        <f t="shared" si="0"/>
        <v>19</v>
      </c>
      <c r="R18" s="123">
        <f t="shared" si="0"/>
        <v>443</v>
      </c>
      <c r="S18" s="153">
        <f t="shared" si="0"/>
        <v>207</v>
      </c>
      <c r="T18" s="153">
        <f t="shared" si="0"/>
        <v>10</v>
      </c>
      <c r="U18" s="153">
        <f t="shared" si="0"/>
        <v>80</v>
      </c>
      <c r="V18" s="79">
        <f t="shared" si="2"/>
        <v>23.31578947368421</v>
      </c>
    </row>
    <row r="19" spans="1:22" ht="12">
      <c r="A19" s="193"/>
      <c r="B19" s="144" t="s">
        <v>113</v>
      </c>
      <c r="C19" s="123">
        <v>7</v>
      </c>
      <c r="D19" s="123">
        <v>182</v>
      </c>
      <c r="E19" s="153">
        <v>81</v>
      </c>
      <c r="F19" s="153">
        <v>9</v>
      </c>
      <c r="G19" s="153">
        <v>30</v>
      </c>
      <c r="H19" s="79">
        <f t="shared" si="1"/>
        <v>26</v>
      </c>
      <c r="J19" s="123">
        <v>2</v>
      </c>
      <c r="K19" s="123">
        <v>49</v>
      </c>
      <c r="L19" s="153">
        <v>24</v>
      </c>
      <c r="M19" s="153">
        <v>2</v>
      </c>
      <c r="N19" s="153">
        <v>20</v>
      </c>
      <c r="O19" s="79">
        <f t="shared" si="3"/>
        <v>24.5</v>
      </c>
      <c r="Q19" s="123">
        <f t="shared" si="0"/>
        <v>9</v>
      </c>
      <c r="R19" s="123">
        <f t="shared" si="0"/>
        <v>231</v>
      </c>
      <c r="S19" s="153">
        <f t="shared" si="0"/>
        <v>105</v>
      </c>
      <c r="T19" s="153">
        <f t="shared" si="0"/>
        <v>11</v>
      </c>
      <c r="U19" s="153">
        <f t="shared" si="0"/>
        <v>50</v>
      </c>
      <c r="V19" s="79">
        <f t="shared" si="2"/>
        <v>25.666666666666668</v>
      </c>
    </row>
    <row r="20" spans="1:22" ht="12">
      <c r="A20" s="192"/>
      <c r="B20" s="144" t="s">
        <v>114</v>
      </c>
      <c r="C20" s="123">
        <v>2</v>
      </c>
      <c r="D20" s="123">
        <v>52</v>
      </c>
      <c r="E20" s="153">
        <v>24</v>
      </c>
      <c r="F20" s="153">
        <v>3</v>
      </c>
      <c r="G20" s="153">
        <v>9</v>
      </c>
      <c r="H20" s="79">
        <f t="shared" si="1"/>
        <v>26</v>
      </c>
      <c r="J20" s="123">
        <v>6</v>
      </c>
      <c r="K20" s="123">
        <v>145</v>
      </c>
      <c r="L20" s="153">
        <v>83</v>
      </c>
      <c r="M20" s="153">
        <v>0</v>
      </c>
      <c r="N20" s="153">
        <v>54</v>
      </c>
      <c r="O20" s="79">
        <f t="shared" si="3"/>
        <v>24.166666666666668</v>
      </c>
      <c r="Q20" s="123">
        <f t="shared" si="0"/>
        <v>8</v>
      </c>
      <c r="R20" s="123">
        <f t="shared" si="0"/>
        <v>197</v>
      </c>
      <c r="S20" s="153">
        <f t="shared" si="0"/>
        <v>107</v>
      </c>
      <c r="T20" s="153">
        <f t="shared" si="0"/>
        <v>3</v>
      </c>
      <c r="U20" s="153">
        <f t="shared" si="0"/>
        <v>63</v>
      </c>
      <c r="V20" s="79">
        <f t="shared" si="2"/>
        <v>24.625</v>
      </c>
    </row>
    <row r="21" spans="1:22" ht="12">
      <c r="A21" s="192"/>
      <c r="B21" s="144" t="s">
        <v>115</v>
      </c>
      <c r="C21" s="123">
        <v>16</v>
      </c>
      <c r="D21" s="123">
        <v>385</v>
      </c>
      <c r="E21" s="153">
        <v>192</v>
      </c>
      <c r="F21" s="153">
        <v>8</v>
      </c>
      <c r="G21" s="153">
        <v>108</v>
      </c>
      <c r="H21" s="79">
        <f t="shared" si="1"/>
        <v>24.0625</v>
      </c>
      <c r="J21" s="123"/>
      <c r="K21" s="123"/>
      <c r="L21" s="153"/>
      <c r="M21" s="153"/>
      <c r="N21" s="153"/>
      <c r="O21" s="79"/>
      <c r="Q21" s="123">
        <f t="shared" si="0"/>
        <v>16</v>
      </c>
      <c r="R21" s="123">
        <f t="shared" si="0"/>
        <v>385</v>
      </c>
      <c r="S21" s="153">
        <f t="shared" si="0"/>
        <v>192</v>
      </c>
      <c r="T21" s="153">
        <f t="shared" si="0"/>
        <v>8</v>
      </c>
      <c r="U21" s="153">
        <f t="shared" si="0"/>
        <v>108</v>
      </c>
      <c r="V21" s="79">
        <f t="shared" si="2"/>
        <v>24.0625</v>
      </c>
    </row>
    <row r="22" spans="1:22" ht="12">
      <c r="A22" s="189" t="s">
        <v>116</v>
      </c>
      <c r="B22" s="189"/>
      <c r="C22" s="75">
        <f>C23+C24</f>
        <v>28</v>
      </c>
      <c r="D22" s="75">
        <f>D23+D24</f>
        <v>695</v>
      </c>
      <c r="E22" s="80">
        <f>E23+E24</f>
        <v>343</v>
      </c>
      <c r="F22" s="80">
        <f>F23+F24</f>
        <v>31</v>
      </c>
      <c r="G22" s="80">
        <f>G23+G24</f>
        <v>179</v>
      </c>
      <c r="H22" s="74">
        <f t="shared" si="1"/>
        <v>24.821428571428573</v>
      </c>
      <c r="J22" s="75">
        <f>J23+J24</f>
        <v>26</v>
      </c>
      <c r="K22" s="75">
        <f>K23+K24</f>
        <v>594</v>
      </c>
      <c r="L22" s="80">
        <f>L23+L24</f>
        <v>279</v>
      </c>
      <c r="M22" s="80">
        <f>M23+M24</f>
        <v>16</v>
      </c>
      <c r="N22" s="80">
        <f>N23+N24</f>
        <v>288</v>
      </c>
      <c r="O22" s="74">
        <f t="shared" si="3"/>
        <v>22.846153846153847</v>
      </c>
      <c r="Q22" s="75">
        <f t="shared" si="0"/>
        <v>54</v>
      </c>
      <c r="R22" s="75">
        <f t="shared" si="0"/>
        <v>1289</v>
      </c>
      <c r="S22" s="80">
        <f t="shared" si="0"/>
        <v>622</v>
      </c>
      <c r="T22" s="80">
        <f t="shared" si="0"/>
        <v>47</v>
      </c>
      <c r="U22" s="80">
        <f t="shared" si="0"/>
        <v>467</v>
      </c>
      <c r="V22" s="74">
        <f t="shared" si="2"/>
        <v>23.87037037037037</v>
      </c>
    </row>
    <row r="23" spans="1:22" ht="12">
      <c r="A23" s="193"/>
      <c r="B23" s="144" t="s">
        <v>117</v>
      </c>
      <c r="C23" s="123">
        <v>17</v>
      </c>
      <c r="D23" s="123">
        <v>419</v>
      </c>
      <c r="E23" s="153">
        <v>201</v>
      </c>
      <c r="F23" s="153">
        <v>18</v>
      </c>
      <c r="G23" s="153">
        <v>143</v>
      </c>
      <c r="H23" s="79">
        <f t="shared" si="1"/>
        <v>24.647058823529413</v>
      </c>
      <c r="J23" s="123">
        <v>12</v>
      </c>
      <c r="K23" s="123">
        <v>267</v>
      </c>
      <c r="L23" s="153">
        <v>122</v>
      </c>
      <c r="M23" s="153">
        <v>7</v>
      </c>
      <c r="N23" s="153">
        <v>148</v>
      </c>
      <c r="O23" s="79">
        <f t="shared" si="3"/>
        <v>22.25</v>
      </c>
      <c r="Q23" s="123">
        <f t="shared" si="0"/>
        <v>29</v>
      </c>
      <c r="R23" s="123">
        <f t="shared" si="0"/>
        <v>686</v>
      </c>
      <c r="S23" s="153">
        <f t="shared" si="0"/>
        <v>323</v>
      </c>
      <c r="T23" s="153">
        <f t="shared" si="0"/>
        <v>25</v>
      </c>
      <c r="U23" s="153">
        <f t="shared" si="0"/>
        <v>291</v>
      </c>
      <c r="V23" s="79">
        <f t="shared" si="2"/>
        <v>23.655172413793103</v>
      </c>
    </row>
    <row r="24" spans="1:22" ht="12">
      <c r="A24" s="193"/>
      <c r="B24" s="144" t="s">
        <v>118</v>
      </c>
      <c r="C24" s="123">
        <v>11</v>
      </c>
      <c r="D24" s="123">
        <v>276</v>
      </c>
      <c r="E24" s="153">
        <v>142</v>
      </c>
      <c r="F24" s="153">
        <v>13</v>
      </c>
      <c r="G24" s="153">
        <v>36</v>
      </c>
      <c r="H24" s="79">
        <f t="shared" si="1"/>
        <v>25.09090909090909</v>
      </c>
      <c r="J24" s="123">
        <v>14</v>
      </c>
      <c r="K24" s="123">
        <v>327</v>
      </c>
      <c r="L24" s="153">
        <v>157</v>
      </c>
      <c r="M24" s="153">
        <v>9</v>
      </c>
      <c r="N24" s="153">
        <v>140</v>
      </c>
      <c r="O24" s="79">
        <f t="shared" si="3"/>
        <v>23.357142857142858</v>
      </c>
      <c r="Q24" s="123">
        <f t="shared" si="0"/>
        <v>25</v>
      </c>
      <c r="R24" s="123">
        <f t="shared" si="0"/>
        <v>603</v>
      </c>
      <c r="S24" s="153">
        <f t="shared" si="0"/>
        <v>299</v>
      </c>
      <c r="T24" s="153">
        <f t="shared" si="0"/>
        <v>22</v>
      </c>
      <c r="U24" s="153">
        <f t="shared" si="0"/>
        <v>176</v>
      </c>
      <c r="V24" s="79">
        <f t="shared" si="2"/>
        <v>24.12</v>
      </c>
    </row>
    <row r="25" spans="1:22" ht="12">
      <c r="A25" s="191" t="s">
        <v>37</v>
      </c>
      <c r="B25" s="191"/>
      <c r="C25" s="75">
        <f>C26+C27+C28+C29</f>
        <v>38</v>
      </c>
      <c r="D25" s="75">
        <f>D26+D27+D28+D29</f>
        <v>904</v>
      </c>
      <c r="E25" s="80">
        <f>E26+E27+E28+E29</f>
        <v>448</v>
      </c>
      <c r="F25" s="80">
        <f>F26+F27+F28+F29</f>
        <v>19</v>
      </c>
      <c r="G25" s="80">
        <f>G26+G27+G28+G29</f>
        <v>74</v>
      </c>
      <c r="H25" s="74">
        <f t="shared" si="1"/>
        <v>23.789473684210527</v>
      </c>
      <c r="J25" s="75">
        <f>J26+J27+J28+J29</f>
        <v>5</v>
      </c>
      <c r="K25" s="75">
        <f>K26+K27+K28+K29</f>
        <v>123</v>
      </c>
      <c r="L25" s="80">
        <f>L26+L27+L28+L29</f>
        <v>64</v>
      </c>
      <c r="M25" s="80">
        <f>M26+M27+M28+M29</f>
        <v>3</v>
      </c>
      <c r="N25" s="80">
        <f>N26+N27+N28+N29</f>
        <v>7</v>
      </c>
      <c r="O25" s="74">
        <f t="shared" si="3"/>
        <v>24.6</v>
      </c>
      <c r="Q25" s="75">
        <f t="shared" si="0"/>
        <v>43</v>
      </c>
      <c r="R25" s="75">
        <f t="shared" si="0"/>
        <v>1027</v>
      </c>
      <c r="S25" s="80">
        <f t="shared" si="0"/>
        <v>512</v>
      </c>
      <c r="T25" s="80">
        <f t="shared" si="0"/>
        <v>22</v>
      </c>
      <c r="U25" s="80">
        <f t="shared" si="0"/>
        <v>81</v>
      </c>
      <c r="V25" s="74">
        <f t="shared" si="2"/>
        <v>23.88372093023256</v>
      </c>
    </row>
    <row r="26" spans="1:22" ht="12">
      <c r="A26" s="193"/>
      <c r="B26" s="144" t="s">
        <v>119</v>
      </c>
      <c r="C26" s="123">
        <v>7</v>
      </c>
      <c r="D26" s="123">
        <v>158</v>
      </c>
      <c r="E26" s="153">
        <v>89</v>
      </c>
      <c r="F26" s="153">
        <v>3</v>
      </c>
      <c r="G26" s="153">
        <v>9</v>
      </c>
      <c r="H26" s="79">
        <f t="shared" si="1"/>
        <v>22.571428571428573</v>
      </c>
      <c r="J26" s="123"/>
      <c r="K26" s="123"/>
      <c r="L26" s="153"/>
      <c r="M26" s="153"/>
      <c r="N26" s="153"/>
      <c r="O26" s="79"/>
      <c r="Q26" s="123">
        <f t="shared" si="0"/>
        <v>7</v>
      </c>
      <c r="R26" s="123">
        <f t="shared" si="0"/>
        <v>158</v>
      </c>
      <c r="S26" s="153">
        <f t="shared" si="0"/>
        <v>89</v>
      </c>
      <c r="T26" s="153">
        <f t="shared" si="0"/>
        <v>3</v>
      </c>
      <c r="U26" s="153">
        <f t="shared" si="0"/>
        <v>9</v>
      </c>
      <c r="V26" s="79">
        <f t="shared" si="2"/>
        <v>22.571428571428573</v>
      </c>
    </row>
    <row r="27" spans="1:22" ht="12">
      <c r="A27" s="193"/>
      <c r="B27" s="144" t="s">
        <v>120</v>
      </c>
      <c r="C27" s="123">
        <v>7</v>
      </c>
      <c r="D27" s="123">
        <v>170</v>
      </c>
      <c r="E27" s="153">
        <v>85</v>
      </c>
      <c r="F27" s="153">
        <v>4</v>
      </c>
      <c r="G27" s="153">
        <v>7</v>
      </c>
      <c r="H27" s="79">
        <f t="shared" si="1"/>
        <v>24.285714285714285</v>
      </c>
      <c r="J27" s="123"/>
      <c r="K27" s="123"/>
      <c r="L27" s="153"/>
      <c r="M27" s="153"/>
      <c r="N27" s="153"/>
      <c r="O27" s="79"/>
      <c r="Q27" s="123">
        <f t="shared" si="0"/>
        <v>7</v>
      </c>
      <c r="R27" s="123">
        <f t="shared" si="0"/>
        <v>170</v>
      </c>
      <c r="S27" s="153">
        <f t="shared" si="0"/>
        <v>85</v>
      </c>
      <c r="T27" s="153">
        <f t="shared" si="0"/>
        <v>4</v>
      </c>
      <c r="U27" s="153">
        <f t="shared" si="0"/>
        <v>7</v>
      </c>
      <c r="V27" s="79">
        <f t="shared" si="2"/>
        <v>24.285714285714285</v>
      </c>
    </row>
    <row r="28" spans="1:22" ht="12">
      <c r="A28" s="192"/>
      <c r="B28" s="144" t="s">
        <v>121</v>
      </c>
      <c r="C28" s="123">
        <v>9</v>
      </c>
      <c r="D28" s="123">
        <v>222</v>
      </c>
      <c r="E28" s="153">
        <v>106</v>
      </c>
      <c r="F28" s="153">
        <v>6</v>
      </c>
      <c r="G28" s="153">
        <v>46</v>
      </c>
      <c r="H28" s="79">
        <f t="shared" si="1"/>
        <v>24.666666666666668</v>
      </c>
      <c r="J28" s="123"/>
      <c r="K28" s="123"/>
      <c r="L28" s="153"/>
      <c r="M28" s="153"/>
      <c r="N28" s="153"/>
      <c r="O28" s="79"/>
      <c r="Q28" s="123">
        <f t="shared" si="0"/>
        <v>9</v>
      </c>
      <c r="R28" s="123">
        <f t="shared" si="0"/>
        <v>222</v>
      </c>
      <c r="S28" s="153">
        <f t="shared" si="0"/>
        <v>106</v>
      </c>
      <c r="T28" s="153">
        <f t="shared" si="0"/>
        <v>6</v>
      </c>
      <c r="U28" s="153">
        <f t="shared" si="0"/>
        <v>46</v>
      </c>
      <c r="V28" s="79">
        <f t="shared" si="2"/>
        <v>24.666666666666668</v>
      </c>
    </row>
    <row r="29" spans="1:22" ht="12">
      <c r="A29" s="193"/>
      <c r="B29" s="144" t="s">
        <v>122</v>
      </c>
      <c r="C29" s="123">
        <v>15</v>
      </c>
      <c r="D29" s="123">
        <v>354</v>
      </c>
      <c r="E29" s="153">
        <v>168</v>
      </c>
      <c r="F29" s="153">
        <v>6</v>
      </c>
      <c r="G29" s="153">
        <v>12</v>
      </c>
      <c r="H29" s="79">
        <f t="shared" si="1"/>
        <v>23.6</v>
      </c>
      <c r="J29" s="123">
        <v>5</v>
      </c>
      <c r="K29" s="123">
        <v>123</v>
      </c>
      <c r="L29" s="153">
        <v>64</v>
      </c>
      <c r="M29" s="153">
        <v>3</v>
      </c>
      <c r="N29" s="153">
        <v>7</v>
      </c>
      <c r="O29" s="79">
        <f t="shared" si="3"/>
        <v>24.6</v>
      </c>
      <c r="Q29" s="123">
        <f t="shared" si="0"/>
        <v>20</v>
      </c>
      <c r="R29" s="123">
        <f t="shared" si="0"/>
        <v>477</v>
      </c>
      <c r="S29" s="153">
        <f t="shared" si="0"/>
        <v>232</v>
      </c>
      <c r="T29" s="153">
        <f t="shared" si="0"/>
        <v>9</v>
      </c>
      <c r="U29" s="153">
        <f t="shared" si="0"/>
        <v>19</v>
      </c>
      <c r="V29" s="79">
        <f t="shared" si="2"/>
        <v>23.85</v>
      </c>
    </row>
    <row r="30" spans="1:22" ht="12">
      <c r="A30" s="191" t="s">
        <v>17</v>
      </c>
      <c r="B30" s="191"/>
      <c r="C30" s="75">
        <f>C31+C32</f>
        <v>25</v>
      </c>
      <c r="D30" s="75">
        <f>D31+D32</f>
        <v>635</v>
      </c>
      <c r="E30" s="80">
        <f>E31+E32</f>
        <v>320</v>
      </c>
      <c r="F30" s="80">
        <f>F31+F32</f>
        <v>23</v>
      </c>
      <c r="G30" s="80">
        <f>G31+G32</f>
        <v>138</v>
      </c>
      <c r="H30" s="74">
        <f t="shared" si="1"/>
        <v>25.4</v>
      </c>
      <c r="J30" s="75">
        <f>J31+J32</f>
        <v>17</v>
      </c>
      <c r="K30" s="75">
        <f>K31+K32</f>
        <v>416</v>
      </c>
      <c r="L30" s="80">
        <f>L31+L32</f>
        <v>214</v>
      </c>
      <c r="M30" s="80">
        <f>M31+M32</f>
        <v>6</v>
      </c>
      <c r="N30" s="80">
        <f>N31+N32</f>
        <v>144</v>
      </c>
      <c r="O30" s="74">
        <f t="shared" si="3"/>
        <v>24.470588235294116</v>
      </c>
      <c r="Q30" s="75">
        <f t="shared" si="0"/>
        <v>42</v>
      </c>
      <c r="R30" s="75">
        <f t="shared" si="0"/>
        <v>1051</v>
      </c>
      <c r="S30" s="80">
        <f t="shared" si="0"/>
        <v>534</v>
      </c>
      <c r="T30" s="80">
        <f t="shared" si="0"/>
        <v>29</v>
      </c>
      <c r="U30" s="80">
        <f t="shared" si="0"/>
        <v>282</v>
      </c>
      <c r="V30" s="74">
        <f t="shared" si="2"/>
        <v>25.023809523809526</v>
      </c>
    </row>
    <row r="31" spans="1:22" ht="12">
      <c r="A31" s="192"/>
      <c r="B31" s="144" t="s">
        <v>123</v>
      </c>
      <c r="C31" s="123">
        <v>17</v>
      </c>
      <c r="D31" s="123">
        <v>432</v>
      </c>
      <c r="E31" s="153">
        <v>216</v>
      </c>
      <c r="F31" s="153">
        <v>15</v>
      </c>
      <c r="G31" s="153">
        <v>97</v>
      </c>
      <c r="H31" s="79">
        <f t="shared" si="1"/>
        <v>25.41176470588235</v>
      </c>
      <c r="J31" s="123">
        <v>11</v>
      </c>
      <c r="K31" s="123">
        <v>268</v>
      </c>
      <c r="L31" s="153">
        <v>135</v>
      </c>
      <c r="M31" s="153">
        <v>3</v>
      </c>
      <c r="N31" s="153">
        <v>93</v>
      </c>
      <c r="O31" s="79">
        <f t="shared" si="3"/>
        <v>24.363636363636363</v>
      </c>
      <c r="Q31" s="123">
        <f t="shared" si="0"/>
        <v>28</v>
      </c>
      <c r="R31" s="123">
        <f t="shared" si="0"/>
        <v>700</v>
      </c>
      <c r="S31" s="153">
        <f t="shared" si="0"/>
        <v>351</v>
      </c>
      <c r="T31" s="153">
        <f t="shared" si="0"/>
        <v>18</v>
      </c>
      <c r="U31" s="153">
        <f t="shared" si="0"/>
        <v>190</v>
      </c>
      <c r="V31" s="79">
        <f t="shared" si="2"/>
        <v>25</v>
      </c>
    </row>
    <row r="32" spans="1:22" ht="12">
      <c r="A32" s="193"/>
      <c r="B32" s="144" t="s">
        <v>124</v>
      </c>
      <c r="C32" s="123">
        <v>8</v>
      </c>
      <c r="D32" s="123">
        <v>203</v>
      </c>
      <c r="E32" s="153">
        <v>104</v>
      </c>
      <c r="F32" s="153">
        <v>8</v>
      </c>
      <c r="G32" s="153">
        <v>41</v>
      </c>
      <c r="H32" s="79">
        <f t="shared" si="1"/>
        <v>25.375</v>
      </c>
      <c r="J32" s="123">
        <v>6</v>
      </c>
      <c r="K32" s="123">
        <v>148</v>
      </c>
      <c r="L32" s="153">
        <v>79</v>
      </c>
      <c r="M32" s="153">
        <v>3</v>
      </c>
      <c r="N32" s="153">
        <v>51</v>
      </c>
      <c r="O32" s="79">
        <f t="shared" si="3"/>
        <v>24.666666666666668</v>
      </c>
      <c r="Q32" s="123">
        <f t="shared" si="0"/>
        <v>14</v>
      </c>
      <c r="R32" s="123">
        <f t="shared" si="0"/>
        <v>351</v>
      </c>
      <c r="S32" s="153">
        <f t="shared" si="0"/>
        <v>183</v>
      </c>
      <c r="T32" s="153">
        <f t="shared" si="0"/>
        <v>11</v>
      </c>
      <c r="U32" s="153">
        <f t="shared" si="0"/>
        <v>92</v>
      </c>
      <c r="V32" s="79">
        <f t="shared" si="2"/>
        <v>25.071428571428573</v>
      </c>
    </row>
    <row r="33" spans="1:22" ht="12">
      <c r="A33" s="194" t="s">
        <v>125</v>
      </c>
      <c r="B33" s="194"/>
      <c r="C33" s="80">
        <f>+C19+C28+C27+C20</f>
        <v>25</v>
      </c>
      <c r="D33" s="80">
        <f>+D19+D28+D27+D20</f>
        <v>626</v>
      </c>
      <c r="E33" s="80">
        <f>+E19+E28+E27+E20</f>
        <v>296</v>
      </c>
      <c r="F33" s="80">
        <f>+F19+F28+F27+F20</f>
        <v>22</v>
      </c>
      <c r="G33" s="80">
        <f>+G19+G28+G27+G20</f>
        <v>92</v>
      </c>
      <c r="H33" s="195">
        <f t="shared" si="1"/>
        <v>25.04</v>
      </c>
      <c r="J33" s="80">
        <f>+J19+J28+J27+J20</f>
        <v>8</v>
      </c>
      <c r="K33" s="80">
        <f>+K19+K28+K27+K20</f>
        <v>194</v>
      </c>
      <c r="L33" s="80">
        <f>+L19+L28+L27+L20</f>
        <v>107</v>
      </c>
      <c r="M33" s="80">
        <f>+M19+M28+M27+M20</f>
        <v>2</v>
      </c>
      <c r="N33" s="80">
        <f>+N19+N28+N27+N20</f>
        <v>74</v>
      </c>
      <c r="O33" s="195">
        <f t="shared" si="3"/>
        <v>24.25</v>
      </c>
      <c r="Q33" s="80">
        <f t="shared" si="0"/>
        <v>33</v>
      </c>
      <c r="R33" s="80">
        <f t="shared" si="0"/>
        <v>820</v>
      </c>
      <c r="S33" s="80">
        <f t="shared" si="0"/>
        <v>403</v>
      </c>
      <c r="T33" s="80">
        <f t="shared" si="0"/>
        <v>24</v>
      </c>
      <c r="U33" s="80">
        <f t="shared" si="0"/>
        <v>166</v>
      </c>
      <c r="V33" s="195">
        <f t="shared" si="2"/>
        <v>24.848484848484848</v>
      </c>
    </row>
    <row r="34" spans="1:22" ht="12">
      <c r="A34" s="194" t="s">
        <v>126</v>
      </c>
      <c r="B34" s="194"/>
      <c r="C34" s="80">
        <f>+C10+C11+C12+C14+C15+C16+C18+C21+C23+C24+C26+C29+C31+C32</f>
        <v>187</v>
      </c>
      <c r="D34" s="80">
        <f>+D10+D11+D12+D14+D15+D16+D18+D21+D23+D24+D26+D29+D31+D32</f>
        <v>4569</v>
      </c>
      <c r="E34" s="80">
        <f>+E10+E11+E12+E14+E15+E16+E18+E21+E23+E24+E26+E29+E31+E32</f>
        <v>2292</v>
      </c>
      <c r="F34" s="80">
        <f>+F10+F11+F12+F14+F15+F16+F18+F21+F23+F24+F26+F29+F31+F32</f>
        <v>143</v>
      </c>
      <c r="G34" s="80">
        <f>+G10+G11+G12+G14+G15+G16+G18+G21+G23+G24+G26+G29+G31+G32</f>
        <v>1216</v>
      </c>
      <c r="H34" s="195">
        <f t="shared" si="1"/>
        <v>24.433155080213904</v>
      </c>
      <c r="J34" s="80">
        <f>+J10+J11+J12+J14+J15+J16+J18+J21+J23+J24+J26+J29+J31+J32</f>
        <v>72</v>
      </c>
      <c r="K34" s="80">
        <f>+K10+K11+K12+K14+K15+K16+K18+K21+K23+K24+K26+K29+K31+K32</f>
        <v>1690</v>
      </c>
      <c r="L34" s="80">
        <f>+L10+L11+L12+L14+L15+L16+L18+L21+L23+L24+L26+L29+L31+L32</f>
        <v>827</v>
      </c>
      <c r="M34" s="80">
        <f>+M10+M11+M12+M14+M15+M16+M18+M21+M23+M24+M26+M29+M31+M32</f>
        <v>36</v>
      </c>
      <c r="N34" s="80">
        <f>+N10+N11+N12+N14+N15+N16+N18+N21+N23+N24+N26+N29+N31+N32</f>
        <v>761</v>
      </c>
      <c r="O34" s="195">
        <f t="shared" si="3"/>
        <v>23.47222222222222</v>
      </c>
      <c r="Q34" s="80">
        <f t="shared" si="0"/>
        <v>259</v>
      </c>
      <c r="R34" s="80">
        <f t="shared" si="0"/>
        <v>6259</v>
      </c>
      <c r="S34" s="80">
        <f t="shared" si="0"/>
        <v>3119</v>
      </c>
      <c r="T34" s="80">
        <f t="shared" si="0"/>
        <v>179</v>
      </c>
      <c r="U34" s="80">
        <f t="shared" si="0"/>
        <v>1977</v>
      </c>
      <c r="V34" s="195">
        <f t="shared" si="2"/>
        <v>24.166023166023166</v>
      </c>
    </row>
    <row r="35" spans="1:22" ht="12">
      <c r="A35" s="196" t="s">
        <v>48</v>
      </c>
      <c r="B35" s="196"/>
      <c r="C35" s="171">
        <f>+C9+C13+C17+C22+C25+C30</f>
        <v>212</v>
      </c>
      <c r="D35" s="171">
        <f>+D9+D13+D17+D22+D25+D30</f>
        <v>5195</v>
      </c>
      <c r="E35" s="93">
        <f>+E9+E13+E17+E22+E25+E30</f>
        <v>2588</v>
      </c>
      <c r="F35" s="93">
        <f>+F9+F13+F17+F22+F25+F30</f>
        <v>165</v>
      </c>
      <c r="G35" s="93">
        <f>+G9+G13+G17+G22+G25+G30</f>
        <v>1308</v>
      </c>
      <c r="H35" s="94">
        <f t="shared" si="1"/>
        <v>24.504716981132077</v>
      </c>
      <c r="J35" s="171">
        <f>+J9+J13+J17+J22+J25+J30</f>
        <v>80</v>
      </c>
      <c r="K35" s="171">
        <f>+K9+K13+K17+K22+K25+K30</f>
        <v>1884</v>
      </c>
      <c r="L35" s="93">
        <f>+L9+L13+L17+L22+L25+L30</f>
        <v>934</v>
      </c>
      <c r="M35" s="93">
        <f>+M9+M13+M17+M22+M25+M30</f>
        <v>38</v>
      </c>
      <c r="N35" s="93">
        <f>+N9+N13+N17+N22+N25+N30</f>
        <v>835</v>
      </c>
      <c r="O35" s="94">
        <f t="shared" si="3"/>
        <v>23.55</v>
      </c>
      <c r="Q35" s="171">
        <f t="shared" si="0"/>
        <v>292</v>
      </c>
      <c r="R35" s="171">
        <f t="shared" si="0"/>
        <v>7079</v>
      </c>
      <c r="S35" s="93">
        <f t="shared" si="0"/>
        <v>3522</v>
      </c>
      <c r="T35" s="93">
        <f t="shared" si="0"/>
        <v>203</v>
      </c>
      <c r="U35" s="93">
        <f t="shared" si="0"/>
        <v>2143</v>
      </c>
      <c r="V35" s="94">
        <f t="shared" si="2"/>
        <v>24.243150684931507</v>
      </c>
    </row>
    <row r="36" spans="1:22" ht="12">
      <c r="A36" s="97" t="s">
        <v>127</v>
      </c>
      <c r="B36" s="106"/>
      <c r="C36" s="107"/>
      <c r="D36" s="106"/>
      <c r="E36" s="106"/>
      <c r="F36" s="106"/>
      <c r="G36" s="106"/>
      <c r="H36" s="107"/>
      <c r="I36" s="107"/>
      <c r="J36" s="108"/>
      <c r="K36" s="108"/>
      <c r="L36" s="197"/>
      <c r="M36" s="108"/>
      <c r="N36" s="109"/>
      <c r="O36" s="109"/>
      <c r="P36" s="106"/>
      <c r="Q36" s="106"/>
      <c r="T36" s="106"/>
      <c r="U36" s="106"/>
      <c r="V36" s="106"/>
    </row>
    <row r="37" spans="1:22" ht="12">
      <c r="A37" s="97" t="s">
        <v>59</v>
      </c>
      <c r="B37" s="106"/>
      <c r="C37" s="107"/>
      <c r="D37" s="106"/>
      <c r="E37" s="106"/>
      <c r="F37" s="106"/>
      <c r="G37" s="106"/>
      <c r="H37" s="107"/>
      <c r="I37" s="107"/>
      <c r="J37" s="108"/>
      <c r="K37" s="108"/>
      <c r="L37" s="197"/>
      <c r="M37" s="108"/>
      <c r="N37" s="109"/>
      <c r="O37" s="109"/>
      <c r="P37" s="106"/>
      <c r="Q37" s="106"/>
      <c r="R37" s="106"/>
      <c r="S37" s="106"/>
      <c r="T37" s="106"/>
      <c r="U37" s="106"/>
      <c r="V37" s="106"/>
    </row>
    <row r="38" spans="1:22" ht="12">
      <c r="A38" s="105" t="s">
        <v>60</v>
      </c>
      <c r="B38" s="106"/>
      <c r="C38" s="107"/>
      <c r="D38" s="106"/>
      <c r="E38" s="106"/>
      <c r="F38" s="106"/>
      <c r="G38" s="106"/>
      <c r="H38" s="107"/>
      <c r="I38" s="107"/>
      <c r="J38" s="108"/>
      <c r="K38" s="108"/>
      <c r="L38" s="108"/>
      <c r="M38" s="108"/>
      <c r="N38" s="109"/>
      <c r="O38" s="109"/>
      <c r="P38" s="106"/>
      <c r="Q38" s="106"/>
      <c r="R38" s="106"/>
      <c r="S38" s="106"/>
      <c r="T38" s="106"/>
      <c r="U38" s="106"/>
      <c r="V38" s="106"/>
    </row>
    <row r="39" spans="1:22" ht="12">
      <c r="A39" s="105" t="s">
        <v>26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6"/>
      <c r="Q39" s="106"/>
      <c r="R39" s="106"/>
      <c r="S39" s="106"/>
      <c r="T39" s="106"/>
      <c r="U39" s="106"/>
      <c r="V39" s="106"/>
    </row>
    <row r="40" spans="1:22" ht="12">
      <c r="A40" s="97" t="s">
        <v>85</v>
      </c>
      <c r="B40" s="106"/>
      <c r="C40" s="107"/>
      <c r="D40" s="107"/>
      <c r="E40" s="106"/>
      <c r="F40" s="106"/>
      <c r="G40" s="106"/>
      <c r="H40" s="107"/>
      <c r="I40" s="108"/>
      <c r="J40" s="108"/>
      <c r="K40" s="108"/>
      <c r="L40" s="109"/>
      <c r="M40" s="106"/>
      <c r="N40" s="106"/>
      <c r="O40" s="106"/>
      <c r="P40" s="106"/>
      <c r="Q40" s="106"/>
      <c r="R40" s="106"/>
      <c r="S40" s="106"/>
      <c r="T40" s="144"/>
      <c r="U40" s="144"/>
      <c r="V40" s="144"/>
    </row>
    <row r="41" spans="1:19" ht="12">
      <c r="A41" s="97" t="s">
        <v>90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96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ht="12">
      <c r="A45" s="97" t="s">
        <v>101</v>
      </c>
    </row>
  </sheetData>
  <sheetProtection/>
  <mergeCells count="7">
    <mergeCell ref="C3:V3"/>
    <mergeCell ref="C4:H4"/>
    <mergeCell ref="J4:O4"/>
    <mergeCell ref="Q4:V4"/>
    <mergeCell ref="D5:H5"/>
    <mergeCell ref="K5:O5"/>
    <mergeCell ref="R5:V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  <headerFooter alignWithMargins="0">
    <oddHeader>&amp;R400042.xls</oddHeader>
    <oddFooter>&amp;LComune di Bologna - Dipartimento Programmazione</oddFooter>
  </headerFooter>
  <ignoredErrors>
    <ignoredError sqref="C9:V35" unlockedFormula="1"/>
    <ignoredError sqref="E8:V8 O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zoomScalePageLayoutView="0" workbookViewId="0" topLeftCell="A1">
      <selection activeCell="A1" sqref="A1"/>
    </sheetView>
  </sheetViews>
  <sheetFormatPr defaultColWidth="10.625" defaultRowHeight="12"/>
  <cols>
    <col min="1" max="1" width="15.25390625" style="21" customWidth="1"/>
    <col min="2" max="2" width="6.25390625" style="21" customWidth="1"/>
    <col min="3" max="6" width="8.125" style="21" customWidth="1"/>
    <col min="7" max="7" width="7.00390625" style="21" customWidth="1"/>
    <col min="8" max="8" width="6.25390625" style="21" customWidth="1"/>
    <col min="9" max="12" width="8.125" style="21" customWidth="1"/>
    <col min="13" max="13" width="6.875" style="21" customWidth="1"/>
    <col min="14" max="14" width="7.125" style="21" customWidth="1"/>
    <col min="15" max="18" width="8.125" style="21" customWidth="1"/>
    <col min="19" max="19" width="7.125" style="21" customWidth="1"/>
    <col min="20" max="20" width="1.875" style="21" customWidth="1"/>
    <col min="21" max="21" width="6.75390625" style="21" customWidth="1"/>
    <col min="22" max="22" width="7.00390625" style="21" customWidth="1"/>
    <col min="23" max="23" width="11.125" style="21" hidden="1" customWidth="1"/>
    <col min="24" max="24" width="9.25390625" style="21" customWidth="1"/>
    <col min="25" max="25" width="8.875" style="21" customWidth="1"/>
    <col min="26" max="26" width="1.25" style="21" customWidth="1"/>
    <col min="27" max="27" width="6.75390625" style="21" customWidth="1"/>
    <col min="28" max="28" width="6.875" style="21" customWidth="1"/>
    <col min="29" max="29" width="8.875" style="21" customWidth="1"/>
    <col min="30" max="30" width="1.25" style="21" customWidth="1"/>
    <col min="31" max="31" width="6.75390625" style="21" customWidth="1"/>
    <col min="32" max="32" width="6.875" style="21" customWidth="1"/>
    <col min="33" max="33" width="8.875" style="21" customWidth="1"/>
    <col min="34" max="16384" width="10.625" style="21" customWidth="1"/>
  </cols>
  <sheetData>
    <row r="1" spans="1:30" s="13" customFormat="1" ht="15" customHeight="1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1" t="s">
        <v>25</v>
      </c>
      <c r="P1" s="49"/>
      <c r="Q1" s="49"/>
      <c r="R1" s="49"/>
      <c r="S1" s="4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15" customHeight="1">
      <c r="A2" s="52" t="s">
        <v>99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49"/>
      <c r="Q2" s="49"/>
      <c r="R2" s="49"/>
      <c r="S2" s="4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2">
      <c r="A3" s="53" t="s">
        <v>0</v>
      </c>
      <c r="B3" s="202" t="s">
        <v>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">
      <c r="A4" s="54"/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/>
      <c r="L4" s="203"/>
      <c r="M4" s="203"/>
      <c r="N4" s="203" t="s">
        <v>20</v>
      </c>
      <c r="O4" s="203"/>
      <c r="P4" s="203"/>
      <c r="Q4" s="203"/>
      <c r="R4" s="203"/>
      <c r="S4" s="203"/>
      <c r="T4" s="24"/>
      <c r="U4" s="24"/>
      <c r="V4" s="24"/>
      <c r="W4" s="24"/>
      <c r="X4" s="24"/>
      <c r="Y4" s="24"/>
      <c r="Z4" s="24"/>
      <c r="AA4" s="23"/>
      <c r="AB4" s="23"/>
      <c r="AC4" s="23"/>
      <c r="AD4" s="24"/>
    </row>
    <row r="5" spans="1:29" ht="12">
      <c r="A5" s="56"/>
      <c r="B5" s="57" t="s">
        <v>4</v>
      </c>
      <c r="C5" s="202" t="s">
        <v>5</v>
      </c>
      <c r="D5" s="202"/>
      <c r="E5" s="202"/>
      <c r="F5" s="202"/>
      <c r="G5" s="202"/>
      <c r="H5" s="57" t="s">
        <v>4</v>
      </c>
      <c r="I5" s="204" t="s">
        <v>5</v>
      </c>
      <c r="J5" s="204"/>
      <c r="K5" s="204"/>
      <c r="L5" s="204"/>
      <c r="M5" s="204"/>
      <c r="N5" s="57" t="s">
        <v>4</v>
      </c>
      <c r="O5" s="204" t="s">
        <v>5</v>
      </c>
      <c r="P5" s="204"/>
      <c r="Q5" s="204"/>
      <c r="R5" s="204"/>
      <c r="S5" s="204"/>
      <c r="AA5" s="24"/>
      <c r="AB5" s="24"/>
      <c r="AC5" s="24"/>
    </row>
    <row r="6" spans="1:19" ht="12">
      <c r="A6" s="56"/>
      <c r="B6" s="58"/>
      <c r="C6" s="58" t="s">
        <v>6</v>
      </c>
      <c r="D6" s="59" t="s">
        <v>19</v>
      </c>
      <c r="E6" s="59" t="s">
        <v>53</v>
      </c>
      <c r="F6" s="59" t="s">
        <v>19</v>
      </c>
      <c r="G6" s="60" t="s">
        <v>52</v>
      </c>
      <c r="H6" s="58"/>
      <c r="I6" s="61" t="s">
        <v>21</v>
      </c>
      <c r="J6" s="59" t="s">
        <v>19</v>
      </c>
      <c r="K6" s="59" t="s">
        <v>19</v>
      </c>
      <c r="L6" s="59" t="s">
        <v>19</v>
      </c>
      <c r="M6" s="60" t="s">
        <v>52</v>
      </c>
      <c r="N6" s="58"/>
      <c r="O6" s="61" t="s">
        <v>21</v>
      </c>
      <c r="P6" s="59" t="s">
        <v>19</v>
      </c>
      <c r="Q6" s="59" t="s">
        <v>19</v>
      </c>
      <c r="R6" s="59" t="s">
        <v>19</v>
      </c>
      <c r="S6" s="60" t="s">
        <v>52</v>
      </c>
    </row>
    <row r="7" spans="1:19" ht="12">
      <c r="A7" s="56"/>
      <c r="B7" s="58"/>
      <c r="C7" s="58"/>
      <c r="D7" s="59" t="s">
        <v>57</v>
      </c>
      <c r="E7" s="59" t="s">
        <v>27</v>
      </c>
      <c r="F7" s="59" t="s">
        <v>23</v>
      </c>
      <c r="G7" s="62" t="s">
        <v>51</v>
      </c>
      <c r="H7" s="58"/>
      <c r="I7" s="57"/>
      <c r="J7" s="59" t="s">
        <v>57</v>
      </c>
      <c r="K7" s="59" t="s">
        <v>27</v>
      </c>
      <c r="L7" s="59" t="s">
        <v>23</v>
      </c>
      <c r="M7" s="62" t="s">
        <v>51</v>
      </c>
      <c r="N7" s="58"/>
      <c r="O7" s="57"/>
      <c r="P7" s="59" t="s">
        <v>57</v>
      </c>
      <c r="Q7" s="59" t="s">
        <v>27</v>
      </c>
      <c r="R7" s="59" t="s">
        <v>23</v>
      </c>
      <c r="S7" s="62" t="s">
        <v>51</v>
      </c>
    </row>
    <row r="8" spans="1:19" ht="12">
      <c r="A8" s="63"/>
      <c r="B8" s="64"/>
      <c r="C8" s="64"/>
      <c r="D8" s="65" t="s">
        <v>49</v>
      </c>
      <c r="E8" s="66" t="s">
        <v>28</v>
      </c>
      <c r="F8" s="65" t="s">
        <v>58</v>
      </c>
      <c r="G8" s="67" t="s">
        <v>24</v>
      </c>
      <c r="H8" s="64"/>
      <c r="I8" s="68"/>
      <c r="J8" s="65" t="s">
        <v>49</v>
      </c>
      <c r="K8" s="66" t="s">
        <v>28</v>
      </c>
      <c r="L8" s="65" t="s">
        <v>58</v>
      </c>
      <c r="M8" s="67" t="s">
        <v>24</v>
      </c>
      <c r="N8" s="64"/>
      <c r="O8" s="68"/>
      <c r="P8" s="65" t="s">
        <v>49</v>
      </c>
      <c r="Q8" s="66" t="s">
        <v>28</v>
      </c>
      <c r="R8" s="65" t="s">
        <v>58</v>
      </c>
      <c r="S8" s="67" t="s">
        <v>24</v>
      </c>
    </row>
    <row r="9" spans="1:19" ht="12">
      <c r="A9" s="69" t="s">
        <v>9</v>
      </c>
      <c r="B9" s="70">
        <v>21</v>
      </c>
      <c r="C9" s="71">
        <v>519</v>
      </c>
      <c r="D9" s="72">
        <v>257</v>
      </c>
      <c r="E9" s="72">
        <v>17</v>
      </c>
      <c r="F9" s="72">
        <v>172</v>
      </c>
      <c r="G9" s="73">
        <f aca="true" t="shared" si="0" ref="G9:G34">+C9/B9</f>
        <v>24.714285714285715</v>
      </c>
      <c r="H9" s="70"/>
      <c r="I9" s="71"/>
      <c r="J9" s="72"/>
      <c r="K9" s="72"/>
      <c r="L9" s="72"/>
      <c r="M9" s="73"/>
      <c r="N9" s="70">
        <f>B9+H9</f>
        <v>21</v>
      </c>
      <c r="O9" s="71">
        <f aca="true" t="shared" si="1" ref="O9:R33">C9+I9</f>
        <v>519</v>
      </c>
      <c r="P9" s="72">
        <f t="shared" si="1"/>
        <v>257</v>
      </c>
      <c r="Q9" s="72">
        <f t="shared" si="1"/>
        <v>17</v>
      </c>
      <c r="R9" s="72">
        <f t="shared" si="1"/>
        <v>172</v>
      </c>
      <c r="S9" s="74">
        <f aca="true" t="shared" si="2" ref="S9:S34">+O9/N9</f>
        <v>24.714285714285715</v>
      </c>
    </row>
    <row r="10" spans="1:19" ht="12">
      <c r="A10" s="69" t="s">
        <v>10</v>
      </c>
      <c r="B10" s="75">
        <f>+B11+B12+B13</f>
        <v>33</v>
      </c>
      <c r="C10" s="75">
        <f>+C11+C12+C13</f>
        <v>831</v>
      </c>
      <c r="D10" s="76">
        <f>+D11+D12+D13</f>
        <v>418</v>
      </c>
      <c r="E10" s="76">
        <f>+E11+E12+E13</f>
        <v>30</v>
      </c>
      <c r="F10" s="76">
        <f>+F11+F12+F13</f>
        <v>300</v>
      </c>
      <c r="G10" s="74">
        <f t="shared" si="0"/>
        <v>25.181818181818183</v>
      </c>
      <c r="H10" s="75">
        <f>SUM(H11:H13)</f>
        <v>18</v>
      </c>
      <c r="I10" s="75">
        <f>SUM(I11:I13)</f>
        <v>414</v>
      </c>
      <c r="J10" s="76">
        <f>SUM(J11:J13)</f>
        <v>204</v>
      </c>
      <c r="K10" s="76">
        <f>SUM(K11:K13)</f>
        <v>13</v>
      </c>
      <c r="L10" s="76">
        <f>SUM(L11:L13)</f>
        <v>255</v>
      </c>
      <c r="M10" s="74">
        <f aca="true" t="shared" si="3" ref="M10:M15">+I10/H10</f>
        <v>23</v>
      </c>
      <c r="N10" s="75">
        <f aca="true" t="shared" si="4" ref="N10:N33">B10+H10</f>
        <v>51</v>
      </c>
      <c r="O10" s="75">
        <f t="shared" si="1"/>
        <v>1245</v>
      </c>
      <c r="P10" s="76">
        <f t="shared" si="1"/>
        <v>622</v>
      </c>
      <c r="Q10" s="76">
        <f t="shared" si="1"/>
        <v>43</v>
      </c>
      <c r="R10" s="76">
        <f t="shared" si="1"/>
        <v>555</v>
      </c>
      <c r="S10" s="74">
        <f t="shared" si="2"/>
        <v>24.41176470588235</v>
      </c>
    </row>
    <row r="11" spans="1:19" ht="12">
      <c r="A11" s="77" t="s">
        <v>29</v>
      </c>
      <c r="B11" s="46">
        <v>17</v>
      </c>
      <c r="C11" s="47">
        <v>426</v>
      </c>
      <c r="D11" s="78">
        <v>215</v>
      </c>
      <c r="E11" s="78">
        <v>17</v>
      </c>
      <c r="F11" s="78">
        <v>158</v>
      </c>
      <c r="G11" s="79">
        <f t="shared" si="0"/>
        <v>25.058823529411764</v>
      </c>
      <c r="H11" s="46">
        <v>10</v>
      </c>
      <c r="I11" s="47">
        <v>224</v>
      </c>
      <c r="J11" s="78">
        <v>119</v>
      </c>
      <c r="K11" s="78">
        <v>6</v>
      </c>
      <c r="L11" s="78">
        <v>160</v>
      </c>
      <c r="M11" s="79">
        <f t="shared" si="3"/>
        <v>22.4</v>
      </c>
      <c r="N11" s="46">
        <f t="shared" si="4"/>
        <v>27</v>
      </c>
      <c r="O11" s="47">
        <f t="shared" si="1"/>
        <v>650</v>
      </c>
      <c r="P11" s="78">
        <f t="shared" si="1"/>
        <v>334</v>
      </c>
      <c r="Q11" s="78">
        <f t="shared" si="1"/>
        <v>23</v>
      </c>
      <c r="R11" s="78">
        <f t="shared" si="1"/>
        <v>318</v>
      </c>
      <c r="S11" s="79">
        <f t="shared" si="2"/>
        <v>24.074074074074073</v>
      </c>
    </row>
    <row r="12" spans="1:19" ht="12">
      <c r="A12" s="77" t="s">
        <v>30</v>
      </c>
      <c r="B12" s="46">
        <v>10</v>
      </c>
      <c r="C12" s="47">
        <v>260</v>
      </c>
      <c r="D12" s="78">
        <v>124</v>
      </c>
      <c r="E12" s="78">
        <v>9</v>
      </c>
      <c r="F12" s="78">
        <v>89</v>
      </c>
      <c r="G12" s="79">
        <f t="shared" si="0"/>
        <v>26</v>
      </c>
      <c r="H12" s="46">
        <v>4</v>
      </c>
      <c r="I12" s="47">
        <v>99</v>
      </c>
      <c r="J12" s="78">
        <v>45</v>
      </c>
      <c r="K12" s="78">
        <v>3</v>
      </c>
      <c r="L12" s="78">
        <v>46</v>
      </c>
      <c r="M12" s="79">
        <f t="shared" si="3"/>
        <v>24.75</v>
      </c>
      <c r="N12" s="46">
        <f t="shared" si="4"/>
        <v>14</v>
      </c>
      <c r="O12" s="47">
        <f t="shared" si="1"/>
        <v>359</v>
      </c>
      <c r="P12" s="78">
        <f t="shared" si="1"/>
        <v>169</v>
      </c>
      <c r="Q12" s="78">
        <f t="shared" si="1"/>
        <v>12</v>
      </c>
      <c r="R12" s="78">
        <f t="shared" si="1"/>
        <v>135</v>
      </c>
      <c r="S12" s="79">
        <f t="shared" si="2"/>
        <v>25.642857142857142</v>
      </c>
    </row>
    <row r="13" spans="1:19" ht="12">
      <c r="A13" s="77" t="s">
        <v>31</v>
      </c>
      <c r="B13" s="46">
        <v>6</v>
      </c>
      <c r="C13" s="47">
        <v>145</v>
      </c>
      <c r="D13" s="78">
        <v>79</v>
      </c>
      <c r="E13" s="78">
        <v>4</v>
      </c>
      <c r="F13" s="78">
        <v>53</v>
      </c>
      <c r="G13" s="79">
        <f t="shared" si="0"/>
        <v>24.166666666666668</v>
      </c>
      <c r="H13" s="46">
        <v>4</v>
      </c>
      <c r="I13" s="47">
        <v>91</v>
      </c>
      <c r="J13" s="78">
        <v>40</v>
      </c>
      <c r="K13" s="78">
        <v>4</v>
      </c>
      <c r="L13" s="78">
        <v>49</v>
      </c>
      <c r="M13" s="79">
        <f t="shared" si="3"/>
        <v>22.75</v>
      </c>
      <c r="N13" s="46">
        <f t="shared" si="4"/>
        <v>10</v>
      </c>
      <c r="O13" s="47">
        <f t="shared" si="1"/>
        <v>236</v>
      </c>
      <c r="P13" s="78">
        <f t="shared" si="1"/>
        <v>119</v>
      </c>
      <c r="Q13" s="78">
        <f t="shared" si="1"/>
        <v>8</v>
      </c>
      <c r="R13" s="78">
        <f t="shared" si="1"/>
        <v>102</v>
      </c>
      <c r="S13" s="79">
        <f t="shared" si="2"/>
        <v>23.6</v>
      </c>
    </row>
    <row r="14" spans="1:19" ht="12">
      <c r="A14" s="69" t="s">
        <v>11</v>
      </c>
      <c r="B14" s="75">
        <f>SUM(B15:B16)</f>
        <v>19</v>
      </c>
      <c r="C14" s="75">
        <f>SUM(C15:C16)</f>
        <v>450</v>
      </c>
      <c r="D14" s="80">
        <f>SUM(D15:D16)</f>
        <v>210</v>
      </c>
      <c r="E14" s="80">
        <f>SUM(E15:E16)</f>
        <v>9</v>
      </c>
      <c r="F14" s="80">
        <f>SUM(F15:F16)</f>
        <v>123</v>
      </c>
      <c r="G14" s="74">
        <f t="shared" si="0"/>
        <v>23.68421052631579</v>
      </c>
      <c r="H14" s="75">
        <f>SUM(H15:H16)</f>
        <v>6</v>
      </c>
      <c r="I14" s="75">
        <f>SUM(I15:I16)</f>
        <v>141</v>
      </c>
      <c r="J14" s="80">
        <f>SUM(J15:J16)</f>
        <v>77</v>
      </c>
      <c r="K14" s="80"/>
      <c r="L14" s="80">
        <f>SUM(L15:L16)</f>
        <v>50</v>
      </c>
      <c r="M14" s="74">
        <f t="shared" si="3"/>
        <v>23.5</v>
      </c>
      <c r="N14" s="75">
        <f t="shared" si="4"/>
        <v>25</v>
      </c>
      <c r="O14" s="75">
        <f t="shared" si="1"/>
        <v>591</v>
      </c>
      <c r="P14" s="80">
        <f t="shared" si="1"/>
        <v>287</v>
      </c>
      <c r="Q14" s="80">
        <f t="shared" si="1"/>
        <v>9</v>
      </c>
      <c r="R14" s="80">
        <f t="shared" si="1"/>
        <v>173</v>
      </c>
      <c r="S14" s="74">
        <f t="shared" si="2"/>
        <v>23.64</v>
      </c>
    </row>
    <row r="15" spans="1:19" ht="12">
      <c r="A15" s="77" t="s">
        <v>32</v>
      </c>
      <c r="B15" s="46">
        <v>2</v>
      </c>
      <c r="C15" s="47">
        <v>52</v>
      </c>
      <c r="D15" s="78">
        <v>23</v>
      </c>
      <c r="E15" s="78">
        <v>2</v>
      </c>
      <c r="F15" s="78">
        <v>6</v>
      </c>
      <c r="G15" s="79">
        <f t="shared" si="0"/>
        <v>26</v>
      </c>
      <c r="H15" s="46">
        <v>6</v>
      </c>
      <c r="I15" s="47">
        <v>141</v>
      </c>
      <c r="J15" s="78">
        <v>77</v>
      </c>
      <c r="K15" s="78"/>
      <c r="L15" s="78">
        <v>50</v>
      </c>
      <c r="M15" s="79">
        <f t="shared" si="3"/>
        <v>23.5</v>
      </c>
      <c r="N15" s="46">
        <f t="shared" si="4"/>
        <v>8</v>
      </c>
      <c r="O15" s="47">
        <f t="shared" si="1"/>
        <v>193</v>
      </c>
      <c r="P15" s="78">
        <f t="shared" si="1"/>
        <v>100</v>
      </c>
      <c r="Q15" s="78">
        <f t="shared" si="1"/>
        <v>2</v>
      </c>
      <c r="R15" s="78">
        <f t="shared" si="1"/>
        <v>56</v>
      </c>
      <c r="S15" s="79">
        <f t="shared" si="2"/>
        <v>24.125</v>
      </c>
    </row>
    <row r="16" spans="1:19" ht="12">
      <c r="A16" s="77" t="s">
        <v>33</v>
      </c>
      <c r="B16" s="46">
        <v>17</v>
      </c>
      <c r="C16" s="47">
        <v>398</v>
      </c>
      <c r="D16" s="78">
        <v>187</v>
      </c>
      <c r="E16" s="78">
        <v>7</v>
      </c>
      <c r="F16" s="78">
        <v>117</v>
      </c>
      <c r="G16" s="79">
        <f t="shared" si="0"/>
        <v>23.41176470588235</v>
      </c>
      <c r="H16" s="46"/>
      <c r="I16" s="47"/>
      <c r="J16" s="78"/>
      <c r="K16" s="78"/>
      <c r="L16" s="78"/>
      <c r="M16" s="79"/>
      <c r="N16" s="46">
        <f t="shared" si="4"/>
        <v>17</v>
      </c>
      <c r="O16" s="47">
        <f t="shared" si="1"/>
        <v>398</v>
      </c>
      <c r="P16" s="78">
        <f t="shared" si="1"/>
        <v>187</v>
      </c>
      <c r="Q16" s="78">
        <f t="shared" si="1"/>
        <v>7</v>
      </c>
      <c r="R16" s="78">
        <f t="shared" si="1"/>
        <v>117</v>
      </c>
      <c r="S16" s="79">
        <f t="shared" si="2"/>
        <v>23.41176470588235</v>
      </c>
    </row>
    <row r="17" spans="1:19" ht="12">
      <c r="A17" s="69" t="s">
        <v>12</v>
      </c>
      <c r="B17" s="75">
        <f>SUM(B18:B19)</f>
        <v>22</v>
      </c>
      <c r="C17" s="75">
        <f>SUM(C18:C19)</f>
        <v>551</v>
      </c>
      <c r="D17" s="80">
        <f>SUM(D18:D19)</f>
        <v>283</v>
      </c>
      <c r="E17" s="80">
        <f>SUM(E18:E19)</f>
        <v>8</v>
      </c>
      <c r="F17" s="80">
        <f>SUM(F18:F19)</f>
        <v>161</v>
      </c>
      <c r="G17" s="74">
        <f t="shared" si="0"/>
        <v>25.045454545454547</v>
      </c>
      <c r="H17" s="75">
        <f>SUM(H18:H19)</f>
        <v>6</v>
      </c>
      <c r="I17" s="75">
        <f>SUM(I18:I19)</f>
        <v>144</v>
      </c>
      <c r="J17" s="80">
        <f>SUM(J18:J19)</f>
        <v>70</v>
      </c>
      <c r="K17" s="80"/>
      <c r="L17" s="80">
        <f>SUM(L18:L19)</f>
        <v>64</v>
      </c>
      <c r="M17" s="74">
        <f>+I17/H17</f>
        <v>24</v>
      </c>
      <c r="N17" s="75">
        <f t="shared" si="4"/>
        <v>28</v>
      </c>
      <c r="O17" s="75">
        <f t="shared" si="1"/>
        <v>695</v>
      </c>
      <c r="P17" s="80">
        <f t="shared" si="1"/>
        <v>353</v>
      </c>
      <c r="Q17" s="80">
        <f t="shared" si="1"/>
        <v>8</v>
      </c>
      <c r="R17" s="80">
        <f t="shared" si="1"/>
        <v>225</v>
      </c>
      <c r="S17" s="74">
        <f t="shared" si="2"/>
        <v>24.821428571428573</v>
      </c>
    </row>
    <row r="18" spans="1:19" ht="12">
      <c r="A18" s="77" t="s">
        <v>34</v>
      </c>
      <c r="B18" s="46">
        <v>12</v>
      </c>
      <c r="C18" s="47">
        <v>304</v>
      </c>
      <c r="D18" s="78">
        <v>151</v>
      </c>
      <c r="E18" s="78">
        <v>5</v>
      </c>
      <c r="F18" s="78">
        <v>79</v>
      </c>
      <c r="G18" s="79">
        <f t="shared" si="0"/>
        <v>25.333333333333332</v>
      </c>
      <c r="H18" s="46">
        <v>4</v>
      </c>
      <c r="I18" s="47">
        <v>94</v>
      </c>
      <c r="J18" s="78">
        <v>41</v>
      </c>
      <c r="K18" s="78"/>
      <c r="L18" s="78">
        <v>42</v>
      </c>
      <c r="M18" s="79">
        <f>+I18/H18</f>
        <v>23.5</v>
      </c>
      <c r="N18" s="46">
        <f t="shared" si="4"/>
        <v>16</v>
      </c>
      <c r="O18" s="47">
        <f t="shared" si="1"/>
        <v>398</v>
      </c>
      <c r="P18" s="78">
        <f t="shared" si="1"/>
        <v>192</v>
      </c>
      <c r="Q18" s="78">
        <f t="shared" si="1"/>
        <v>5</v>
      </c>
      <c r="R18" s="78">
        <f t="shared" si="1"/>
        <v>121</v>
      </c>
      <c r="S18" s="79">
        <f t="shared" si="2"/>
        <v>24.875</v>
      </c>
    </row>
    <row r="19" spans="1:19" ht="12">
      <c r="A19" s="77" t="s">
        <v>35</v>
      </c>
      <c r="B19" s="46">
        <v>10</v>
      </c>
      <c r="C19" s="47">
        <v>247</v>
      </c>
      <c r="D19" s="78">
        <v>132</v>
      </c>
      <c r="E19" s="78">
        <v>3</v>
      </c>
      <c r="F19" s="78">
        <v>82</v>
      </c>
      <c r="G19" s="79">
        <f t="shared" si="0"/>
        <v>24.7</v>
      </c>
      <c r="H19" s="46">
        <v>2</v>
      </c>
      <c r="I19" s="47">
        <v>50</v>
      </c>
      <c r="J19" s="78">
        <v>29</v>
      </c>
      <c r="K19" s="78"/>
      <c r="L19" s="78">
        <v>22</v>
      </c>
      <c r="M19" s="79"/>
      <c r="N19" s="46">
        <f t="shared" si="4"/>
        <v>12</v>
      </c>
      <c r="O19" s="47">
        <f t="shared" si="1"/>
        <v>297</v>
      </c>
      <c r="P19" s="78">
        <f t="shared" si="1"/>
        <v>161</v>
      </c>
      <c r="Q19" s="78">
        <f t="shared" si="1"/>
        <v>3</v>
      </c>
      <c r="R19" s="78">
        <f t="shared" si="1"/>
        <v>104</v>
      </c>
      <c r="S19" s="79">
        <f t="shared" si="2"/>
        <v>24.75</v>
      </c>
    </row>
    <row r="20" spans="1:19" ht="12">
      <c r="A20" s="69" t="s">
        <v>36</v>
      </c>
      <c r="B20" s="70">
        <v>17</v>
      </c>
      <c r="C20" s="71">
        <v>401</v>
      </c>
      <c r="D20" s="72">
        <v>189</v>
      </c>
      <c r="E20" s="72">
        <v>17</v>
      </c>
      <c r="F20" s="72">
        <v>133</v>
      </c>
      <c r="G20" s="73">
        <f>+C20/B20</f>
        <v>23.58823529411765</v>
      </c>
      <c r="H20" s="70">
        <v>12</v>
      </c>
      <c r="I20" s="71">
        <v>267</v>
      </c>
      <c r="J20" s="72">
        <v>115</v>
      </c>
      <c r="K20" s="72">
        <v>12</v>
      </c>
      <c r="L20" s="72">
        <v>118</v>
      </c>
      <c r="M20" s="73">
        <f>+I20/H20</f>
        <v>22.25</v>
      </c>
      <c r="N20" s="70">
        <f t="shared" si="4"/>
        <v>29</v>
      </c>
      <c r="O20" s="71">
        <f t="shared" si="1"/>
        <v>668</v>
      </c>
      <c r="P20" s="72">
        <f t="shared" si="1"/>
        <v>304</v>
      </c>
      <c r="Q20" s="72">
        <f t="shared" si="1"/>
        <v>29</v>
      </c>
      <c r="R20" s="72">
        <f t="shared" si="1"/>
        <v>251</v>
      </c>
      <c r="S20" s="74">
        <f t="shared" si="2"/>
        <v>23.03448275862069</v>
      </c>
    </row>
    <row r="21" spans="1:19" ht="12">
      <c r="A21" s="69" t="s">
        <v>37</v>
      </c>
      <c r="B21" s="81">
        <f>SUM(B22:B24)</f>
        <v>29</v>
      </c>
      <c r="C21" s="81">
        <f>SUM(C22:C24)</f>
        <v>688</v>
      </c>
      <c r="D21" s="82">
        <f>SUM(D22:D24)</f>
        <v>347</v>
      </c>
      <c r="E21" s="82">
        <f>SUM(E22:E24)</f>
        <v>9</v>
      </c>
      <c r="F21" s="82">
        <f>SUM(F22:F24)</f>
        <v>48</v>
      </c>
      <c r="G21" s="74">
        <f t="shared" si="0"/>
        <v>23.724137931034484</v>
      </c>
      <c r="H21" s="81">
        <f>SUM(H22:H24)</f>
        <v>5</v>
      </c>
      <c r="I21" s="81">
        <f>SUM(I22:I24)</f>
        <v>122</v>
      </c>
      <c r="J21" s="82">
        <f>SUM(J22:J24)</f>
        <v>57</v>
      </c>
      <c r="K21" s="82">
        <f>SUM(K22:K24)</f>
        <v>1</v>
      </c>
      <c r="L21" s="82">
        <f>SUM(L22:L24)</f>
        <v>11</v>
      </c>
      <c r="M21" s="74">
        <f>+I21/H21</f>
        <v>24.4</v>
      </c>
      <c r="N21" s="81">
        <f t="shared" si="4"/>
        <v>34</v>
      </c>
      <c r="O21" s="81">
        <f t="shared" si="1"/>
        <v>810</v>
      </c>
      <c r="P21" s="82">
        <f t="shared" si="1"/>
        <v>404</v>
      </c>
      <c r="Q21" s="82">
        <f t="shared" si="1"/>
        <v>10</v>
      </c>
      <c r="R21" s="82">
        <f t="shared" si="1"/>
        <v>59</v>
      </c>
      <c r="S21" s="74">
        <f t="shared" si="2"/>
        <v>23.823529411764707</v>
      </c>
    </row>
    <row r="22" spans="1:19" ht="12.75">
      <c r="A22" s="77" t="s">
        <v>38</v>
      </c>
      <c r="B22" s="46">
        <v>7</v>
      </c>
      <c r="C22" s="47">
        <v>159</v>
      </c>
      <c r="D22" s="78">
        <v>82</v>
      </c>
      <c r="E22" s="78">
        <v>1</v>
      </c>
      <c r="F22" s="78">
        <v>12</v>
      </c>
      <c r="G22" s="79">
        <f t="shared" si="0"/>
        <v>22.714285714285715</v>
      </c>
      <c r="H22" s="46"/>
      <c r="I22" s="47"/>
      <c r="J22" s="78"/>
      <c r="K22" s="78"/>
      <c r="L22" s="78"/>
      <c r="M22" s="79"/>
      <c r="N22" s="83">
        <f t="shared" si="4"/>
        <v>7</v>
      </c>
      <c r="O22" s="84">
        <f t="shared" si="1"/>
        <v>159</v>
      </c>
      <c r="P22" s="78">
        <f t="shared" si="1"/>
        <v>82</v>
      </c>
      <c r="Q22" s="78">
        <f t="shared" si="1"/>
        <v>1</v>
      </c>
      <c r="R22" s="78">
        <f t="shared" si="1"/>
        <v>12</v>
      </c>
      <c r="S22" s="79">
        <f t="shared" si="2"/>
        <v>22.714285714285715</v>
      </c>
    </row>
    <row r="23" spans="1:19" ht="12">
      <c r="A23" s="77" t="s">
        <v>39</v>
      </c>
      <c r="B23" s="46">
        <v>7</v>
      </c>
      <c r="C23" s="47">
        <v>177</v>
      </c>
      <c r="D23" s="78">
        <v>94</v>
      </c>
      <c r="E23" s="78">
        <v>4</v>
      </c>
      <c r="F23" s="78">
        <v>15</v>
      </c>
      <c r="G23" s="79">
        <f t="shared" si="0"/>
        <v>25.285714285714285</v>
      </c>
      <c r="H23" s="46"/>
      <c r="I23" s="47"/>
      <c r="J23" s="78"/>
      <c r="K23" s="78"/>
      <c r="L23" s="78"/>
      <c r="M23" s="79"/>
      <c r="N23" s="85">
        <f t="shared" si="4"/>
        <v>7</v>
      </c>
      <c r="O23" s="84">
        <f t="shared" si="1"/>
        <v>177</v>
      </c>
      <c r="P23" s="78">
        <f t="shared" si="1"/>
        <v>94</v>
      </c>
      <c r="Q23" s="78">
        <f t="shared" si="1"/>
        <v>4</v>
      </c>
      <c r="R23" s="78">
        <f t="shared" si="1"/>
        <v>15</v>
      </c>
      <c r="S23" s="79">
        <f t="shared" si="2"/>
        <v>25.285714285714285</v>
      </c>
    </row>
    <row r="24" spans="1:19" ht="12">
      <c r="A24" s="77" t="s">
        <v>40</v>
      </c>
      <c r="B24" s="46">
        <v>15</v>
      </c>
      <c r="C24" s="47">
        <v>352</v>
      </c>
      <c r="D24" s="78">
        <v>171</v>
      </c>
      <c r="E24" s="78">
        <v>4</v>
      </c>
      <c r="F24" s="78">
        <v>21</v>
      </c>
      <c r="G24" s="79">
        <f t="shared" si="0"/>
        <v>23.466666666666665</v>
      </c>
      <c r="H24" s="46">
        <v>5</v>
      </c>
      <c r="I24" s="47">
        <v>122</v>
      </c>
      <c r="J24" s="78">
        <v>57</v>
      </c>
      <c r="K24" s="78">
        <v>1</v>
      </c>
      <c r="L24" s="78">
        <v>11</v>
      </c>
      <c r="M24" s="79">
        <f>+I24/H24</f>
        <v>24.4</v>
      </c>
      <c r="N24" s="84">
        <f t="shared" si="4"/>
        <v>20</v>
      </c>
      <c r="O24" s="47">
        <f t="shared" si="1"/>
        <v>474</v>
      </c>
      <c r="P24" s="78">
        <f t="shared" si="1"/>
        <v>228</v>
      </c>
      <c r="Q24" s="78">
        <f t="shared" si="1"/>
        <v>5</v>
      </c>
      <c r="R24" s="78">
        <f t="shared" si="1"/>
        <v>32</v>
      </c>
      <c r="S24" s="79">
        <f t="shared" si="2"/>
        <v>23.7</v>
      </c>
    </row>
    <row r="25" spans="1:19" ht="12">
      <c r="A25" s="69" t="s">
        <v>41</v>
      </c>
      <c r="B25" s="75">
        <f>SUM(B26:B27)</f>
        <v>20</v>
      </c>
      <c r="C25" s="75">
        <f>SUM(C26:C27)</f>
        <v>495</v>
      </c>
      <c r="D25" s="80">
        <f>SUM(D26:D27)</f>
        <v>235</v>
      </c>
      <c r="E25" s="80">
        <f>SUM(E26:E27)</f>
        <v>12</v>
      </c>
      <c r="F25" s="80">
        <f>SUM(F26:F27)</f>
        <v>89</v>
      </c>
      <c r="G25" s="74">
        <f t="shared" si="0"/>
        <v>24.75</v>
      </c>
      <c r="H25" s="75">
        <f>SUM(H26:H27)</f>
        <v>14</v>
      </c>
      <c r="I25" s="75">
        <f>SUM(I26:I27)</f>
        <v>319</v>
      </c>
      <c r="J25" s="80">
        <f>SUM(J26:J27)</f>
        <v>150</v>
      </c>
      <c r="K25" s="80">
        <f>SUM(K26:K27)</f>
        <v>7</v>
      </c>
      <c r="L25" s="80">
        <f>SUM(L26:L27)</f>
        <v>133</v>
      </c>
      <c r="M25" s="74">
        <f>+I25/H25</f>
        <v>22.785714285714285</v>
      </c>
      <c r="N25" s="75">
        <f t="shared" si="4"/>
        <v>34</v>
      </c>
      <c r="O25" s="75">
        <f t="shared" si="1"/>
        <v>814</v>
      </c>
      <c r="P25" s="80">
        <f t="shared" si="1"/>
        <v>385</v>
      </c>
      <c r="Q25" s="80">
        <f t="shared" si="1"/>
        <v>19</v>
      </c>
      <c r="R25" s="80">
        <f t="shared" si="1"/>
        <v>222</v>
      </c>
      <c r="S25" s="74">
        <f t="shared" si="2"/>
        <v>23.941176470588236</v>
      </c>
    </row>
    <row r="26" spans="1:19" ht="12">
      <c r="A26" s="46" t="s">
        <v>42</v>
      </c>
      <c r="B26" s="46">
        <v>9</v>
      </c>
      <c r="C26" s="47">
        <v>223</v>
      </c>
      <c r="D26" s="78">
        <v>104</v>
      </c>
      <c r="E26" s="78">
        <v>5</v>
      </c>
      <c r="F26" s="78">
        <v>43</v>
      </c>
      <c r="G26" s="79">
        <f t="shared" si="0"/>
        <v>24.77777777777778</v>
      </c>
      <c r="H26" s="46"/>
      <c r="I26" s="47"/>
      <c r="J26" s="78"/>
      <c r="K26" s="78"/>
      <c r="L26" s="78"/>
      <c r="M26" s="79"/>
      <c r="N26" s="46">
        <f t="shared" si="4"/>
        <v>9</v>
      </c>
      <c r="O26" s="47">
        <f t="shared" si="1"/>
        <v>223</v>
      </c>
      <c r="P26" s="78">
        <f t="shared" si="1"/>
        <v>104</v>
      </c>
      <c r="Q26" s="78">
        <f t="shared" si="1"/>
        <v>5</v>
      </c>
      <c r="R26" s="78">
        <f t="shared" si="1"/>
        <v>43</v>
      </c>
      <c r="S26" s="79">
        <f t="shared" si="2"/>
        <v>24.77777777777778</v>
      </c>
    </row>
    <row r="27" spans="1:19" ht="12">
      <c r="A27" s="77" t="s">
        <v>43</v>
      </c>
      <c r="B27" s="46">
        <v>11</v>
      </c>
      <c r="C27" s="47">
        <v>272</v>
      </c>
      <c r="D27" s="78">
        <v>131</v>
      </c>
      <c r="E27" s="78">
        <v>7</v>
      </c>
      <c r="F27" s="78">
        <v>46</v>
      </c>
      <c r="G27" s="79">
        <f t="shared" si="0"/>
        <v>24.727272727272727</v>
      </c>
      <c r="H27" s="46">
        <v>14</v>
      </c>
      <c r="I27" s="47">
        <v>319</v>
      </c>
      <c r="J27" s="78">
        <v>150</v>
      </c>
      <c r="K27" s="78">
        <v>7</v>
      </c>
      <c r="L27" s="78">
        <v>133</v>
      </c>
      <c r="M27" s="79">
        <f>+I27/H27</f>
        <v>22.785714285714285</v>
      </c>
      <c r="N27" s="46">
        <f t="shared" si="4"/>
        <v>25</v>
      </c>
      <c r="O27" s="47">
        <f t="shared" si="1"/>
        <v>591</v>
      </c>
      <c r="P27" s="78">
        <f t="shared" si="1"/>
        <v>281</v>
      </c>
      <c r="Q27" s="78">
        <f t="shared" si="1"/>
        <v>14</v>
      </c>
      <c r="R27" s="78">
        <f t="shared" si="1"/>
        <v>179</v>
      </c>
      <c r="S27" s="79">
        <f t="shared" si="2"/>
        <v>23.64</v>
      </c>
    </row>
    <row r="28" spans="1:19" ht="12">
      <c r="A28" s="69" t="s">
        <v>16</v>
      </c>
      <c r="B28" s="75">
        <f>SUM(B29:B30)</f>
        <v>26</v>
      </c>
      <c r="C28" s="75">
        <f>SUM(C29:C30)</f>
        <v>617</v>
      </c>
      <c r="D28" s="80">
        <f>SUM(D29:D30)</f>
        <v>293</v>
      </c>
      <c r="E28" s="80">
        <f>SUM(E29:E30)</f>
        <v>21</v>
      </c>
      <c r="F28" s="80">
        <f>SUM(F29:F30)</f>
        <v>118</v>
      </c>
      <c r="G28" s="74">
        <f t="shared" si="0"/>
        <v>23.73076923076923</v>
      </c>
      <c r="H28" s="75">
        <f>SUM(H29:H30)</f>
        <v>2</v>
      </c>
      <c r="I28" s="75">
        <f>SUM(I29:I30)</f>
        <v>48</v>
      </c>
      <c r="J28" s="80">
        <f>SUM(J29:J30)</f>
        <v>20</v>
      </c>
      <c r="K28" s="80">
        <f>SUM(K29:K30)</f>
        <v>1</v>
      </c>
      <c r="L28" s="80">
        <f>SUM(L29:L30)</f>
        <v>17</v>
      </c>
      <c r="M28" s="74">
        <f>+I28/H28</f>
        <v>24</v>
      </c>
      <c r="N28" s="75">
        <f t="shared" si="4"/>
        <v>28</v>
      </c>
      <c r="O28" s="75">
        <f t="shared" si="1"/>
        <v>665</v>
      </c>
      <c r="P28" s="80">
        <f t="shared" si="1"/>
        <v>313</v>
      </c>
      <c r="Q28" s="80">
        <f t="shared" si="1"/>
        <v>22</v>
      </c>
      <c r="R28" s="80">
        <f t="shared" si="1"/>
        <v>135</v>
      </c>
      <c r="S28" s="74">
        <f t="shared" si="2"/>
        <v>23.75</v>
      </c>
    </row>
    <row r="29" spans="1:19" ht="12">
      <c r="A29" s="77" t="s">
        <v>44</v>
      </c>
      <c r="B29" s="46">
        <v>19</v>
      </c>
      <c r="C29" s="47">
        <v>438</v>
      </c>
      <c r="D29" s="78">
        <v>207</v>
      </c>
      <c r="E29" s="78">
        <v>9</v>
      </c>
      <c r="F29" s="78">
        <v>79</v>
      </c>
      <c r="G29" s="79">
        <f t="shared" si="0"/>
        <v>23.05263157894737</v>
      </c>
      <c r="H29" s="46"/>
      <c r="I29" s="47"/>
      <c r="J29" s="78"/>
      <c r="K29" s="78"/>
      <c r="L29" s="78"/>
      <c r="M29" s="79"/>
      <c r="N29" s="46">
        <f t="shared" si="4"/>
        <v>19</v>
      </c>
      <c r="O29" s="47">
        <f t="shared" si="1"/>
        <v>438</v>
      </c>
      <c r="P29" s="78">
        <f t="shared" si="1"/>
        <v>207</v>
      </c>
      <c r="Q29" s="78">
        <f t="shared" si="1"/>
        <v>9</v>
      </c>
      <c r="R29" s="78">
        <f t="shared" si="1"/>
        <v>79</v>
      </c>
      <c r="S29" s="79">
        <f t="shared" si="2"/>
        <v>23.05263157894737</v>
      </c>
    </row>
    <row r="30" spans="1:19" ht="12">
      <c r="A30" s="77" t="s">
        <v>45</v>
      </c>
      <c r="B30" s="46">
        <v>7</v>
      </c>
      <c r="C30" s="47">
        <v>179</v>
      </c>
      <c r="D30" s="78">
        <v>86</v>
      </c>
      <c r="E30" s="78">
        <v>12</v>
      </c>
      <c r="F30" s="78">
        <v>39</v>
      </c>
      <c r="G30" s="79">
        <f t="shared" si="0"/>
        <v>25.571428571428573</v>
      </c>
      <c r="H30" s="46">
        <v>2</v>
      </c>
      <c r="I30" s="47">
        <v>48</v>
      </c>
      <c r="J30" s="78">
        <v>20</v>
      </c>
      <c r="K30" s="78">
        <v>1</v>
      </c>
      <c r="L30" s="78">
        <v>17</v>
      </c>
      <c r="M30" s="79">
        <f>+I30/H30</f>
        <v>24</v>
      </c>
      <c r="N30" s="46">
        <f t="shared" si="4"/>
        <v>9</v>
      </c>
      <c r="O30" s="47">
        <f t="shared" si="1"/>
        <v>227</v>
      </c>
      <c r="P30" s="78">
        <f t="shared" si="1"/>
        <v>106</v>
      </c>
      <c r="Q30" s="78">
        <f t="shared" si="1"/>
        <v>13</v>
      </c>
      <c r="R30" s="78">
        <f t="shared" si="1"/>
        <v>56</v>
      </c>
      <c r="S30" s="79">
        <f t="shared" si="2"/>
        <v>25.22222222222222</v>
      </c>
    </row>
    <row r="31" spans="1:19" ht="12">
      <c r="A31" s="69" t="s">
        <v>17</v>
      </c>
      <c r="B31" s="75">
        <f>SUM(B32:B33)</f>
        <v>24</v>
      </c>
      <c r="C31" s="75">
        <f>SUM(C32:C33)</f>
        <v>609</v>
      </c>
      <c r="D31" s="80">
        <f>SUM(D32:D33)</f>
        <v>296</v>
      </c>
      <c r="E31" s="80">
        <f>SUM(E32:E33)</f>
        <v>21</v>
      </c>
      <c r="F31" s="80">
        <f>SUM(F32:F33)</f>
        <v>106</v>
      </c>
      <c r="G31" s="74">
        <f t="shared" si="0"/>
        <v>25.375</v>
      </c>
      <c r="H31" s="75">
        <f>SUM(H32:H33)</f>
        <v>17</v>
      </c>
      <c r="I31" s="75">
        <f>SUM(I32:I33)</f>
        <v>411</v>
      </c>
      <c r="J31" s="80">
        <f>SUM(J32:J33)</f>
        <v>203</v>
      </c>
      <c r="K31" s="80">
        <f>SUM(K32:K33)</f>
        <v>7</v>
      </c>
      <c r="L31" s="80">
        <f>SUM(L32:L33)</f>
        <v>101</v>
      </c>
      <c r="M31" s="74">
        <f>+I31/H31</f>
        <v>24.176470588235293</v>
      </c>
      <c r="N31" s="75">
        <f t="shared" si="4"/>
        <v>41</v>
      </c>
      <c r="O31" s="75">
        <f t="shared" si="1"/>
        <v>1020</v>
      </c>
      <c r="P31" s="80">
        <f t="shared" si="1"/>
        <v>499</v>
      </c>
      <c r="Q31" s="80">
        <f t="shared" si="1"/>
        <v>28</v>
      </c>
      <c r="R31" s="80">
        <f t="shared" si="1"/>
        <v>207</v>
      </c>
      <c r="S31" s="74">
        <f t="shared" si="2"/>
        <v>24.878048780487806</v>
      </c>
    </row>
    <row r="32" spans="1:19" ht="12">
      <c r="A32" s="86" t="s">
        <v>46</v>
      </c>
      <c r="B32" s="46">
        <v>17</v>
      </c>
      <c r="C32" s="47">
        <v>430</v>
      </c>
      <c r="D32" s="78">
        <v>208</v>
      </c>
      <c r="E32" s="78">
        <v>16</v>
      </c>
      <c r="F32" s="78">
        <v>77</v>
      </c>
      <c r="G32" s="79">
        <f t="shared" si="0"/>
        <v>25.294117647058822</v>
      </c>
      <c r="H32" s="46">
        <v>11</v>
      </c>
      <c r="I32" s="47">
        <v>265</v>
      </c>
      <c r="J32" s="78">
        <v>130</v>
      </c>
      <c r="K32" s="78">
        <v>4</v>
      </c>
      <c r="L32" s="78">
        <v>63</v>
      </c>
      <c r="M32" s="79">
        <f>+I32/H32</f>
        <v>24.09090909090909</v>
      </c>
      <c r="N32" s="46">
        <f t="shared" si="4"/>
        <v>28</v>
      </c>
      <c r="O32" s="47">
        <f t="shared" si="1"/>
        <v>695</v>
      </c>
      <c r="P32" s="78">
        <f t="shared" si="1"/>
        <v>338</v>
      </c>
      <c r="Q32" s="78">
        <f t="shared" si="1"/>
        <v>20</v>
      </c>
      <c r="R32" s="78">
        <f t="shared" si="1"/>
        <v>140</v>
      </c>
      <c r="S32" s="79">
        <f t="shared" si="2"/>
        <v>24.821428571428573</v>
      </c>
    </row>
    <row r="33" spans="1:19" ht="12">
      <c r="A33" s="86" t="s">
        <v>47</v>
      </c>
      <c r="B33" s="46">
        <v>7</v>
      </c>
      <c r="C33" s="47">
        <v>179</v>
      </c>
      <c r="D33" s="78">
        <v>88</v>
      </c>
      <c r="E33" s="78">
        <v>5</v>
      </c>
      <c r="F33" s="78">
        <v>29</v>
      </c>
      <c r="G33" s="87">
        <f t="shared" si="0"/>
        <v>25.571428571428573</v>
      </c>
      <c r="H33" s="46">
        <v>6</v>
      </c>
      <c r="I33" s="47">
        <v>146</v>
      </c>
      <c r="J33" s="78">
        <v>73</v>
      </c>
      <c r="K33" s="78">
        <v>3</v>
      </c>
      <c r="L33" s="78">
        <v>38</v>
      </c>
      <c r="M33" s="87">
        <f>+I33/H33</f>
        <v>24.333333333333332</v>
      </c>
      <c r="N33" s="48">
        <f t="shared" si="4"/>
        <v>13</v>
      </c>
      <c r="O33" s="47">
        <f t="shared" si="1"/>
        <v>325</v>
      </c>
      <c r="P33" s="88">
        <f t="shared" si="1"/>
        <v>161</v>
      </c>
      <c r="Q33" s="88">
        <f t="shared" si="1"/>
        <v>8</v>
      </c>
      <c r="R33" s="88">
        <f t="shared" si="1"/>
        <v>67</v>
      </c>
      <c r="S33" s="87">
        <f t="shared" si="2"/>
        <v>25</v>
      </c>
    </row>
    <row r="34" spans="1:19" ht="12">
      <c r="A34" s="89" t="s">
        <v>48</v>
      </c>
      <c r="B34" s="90">
        <f>+B9+B10+B14+B17+B20+B21+B25+B28+B31</f>
        <v>211</v>
      </c>
      <c r="C34" s="91">
        <f>+C9+C10+C14+C17+C20+C21+C25+C28+C31</f>
        <v>5161</v>
      </c>
      <c r="D34" s="92">
        <f>+D9+D10+D14+D17+D20+D21+D25+D28+D31</f>
        <v>2528</v>
      </c>
      <c r="E34" s="93">
        <f>+E9+E10+E14+E17+E20+E21+E25+E28+E31</f>
        <v>144</v>
      </c>
      <c r="F34" s="93">
        <f>+F9+F10+F14+F17+F20+F21+F25+F28+F31</f>
        <v>1250</v>
      </c>
      <c r="G34" s="94">
        <f t="shared" si="0"/>
        <v>24.459715639810426</v>
      </c>
      <c r="H34" s="90">
        <f>+H9+H10+H14+H17+H20+H21+H25+H28+H31</f>
        <v>80</v>
      </c>
      <c r="I34" s="91">
        <f>+I10+I14+I17+I20+I21+I25+I28+I31</f>
        <v>1866</v>
      </c>
      <c r="J34" s="92">
        <f>+J10+J14+J17+J20+J21+J25+J28+J31</f>
        <v>896</v>
      </c>
      <c r="K34" s="95">
        <f>+K10+K14+K17+K20+K21+K25+K28+K31</f>
        <v>41</v>
      </c>
      <c r="L34" s="95">
        <f>+L10+L14+L17+L20+L21+L25+L28+L31</f>
        <v>749</v>
      </c>
      <c r="M34" s="96">
        <f>+I34/H34</f>
        <v>23.325</v>
      </c>
      <c r="N34" s="90">
        <f>H34+B34</f>
        <v>291</v>
      </c>
      <c r="O34" s="91">
        <f>I34+C34</f>
        <v>7027</v>
      </c>
      <c r="P34" s="92">
        <f>J34+D34</f>
        <v>3424</v>
      </c>
      <c r="Q34" s="93">
        <f>K34+E34</f>
        <v>185</v>
      </c>
      <c r="R34" s="93">
        <f>L34+F34</f>
        <v>1999</v>
      </c>
      <c r="S34" s="94">
        <f t="shared" si="2"/>
        <v>24.147766323024054</v>
      </c>
    </row>
    <row r="35" spans="1:19" ht="12">
      <c r="A35" s="97" t="s">
        <v>100</v>
      </c>
      <c r="B35" s="98"/>
      <c r="C35" s="99"/>
      <c r="D35" s="100"/>
      <c r="E35" s="100"/>
      <c r="F35" s="100"/>
      <c r="G35" s="101"/>
      <c r="H35" s="98"/>
      <c r="I35" s="99"/>
      <c r="J35" s="100"/>
      <c r="K35" s="100"/>
      <c r="L35" s="100"/>
      <c r="M35" s="102"/>
      <c r="N35" s="103"/>
      <c r="O35" s="103"/>
      <c r="P35" s="100"/>
      <c r="Q35" s="104"/>
      <c r="R35" s="100"/>
      <c r="S35" s="101"/>
    </row>
    <row r="36" spans="1:19" ht="12">
      <c r="A36" s="97" t="s">
        <v>59</v>
      </c>
      <c r="B36" s="98"/>
      <c r="C36" s="99"/>
      <c r="D36" s="100"/>
      <c r="E36" s="100"/>
      <c r="F36" s="100"/>
      <c r="G36" s="101"/>
      <c r="H36" s="98"/>
      <c r="I36" s="99"/>
      <c r="J36" s="100"/>
      <c r="K36" s="100"/>
      <c r="L36" s="100"/>
      <c r="M36" s="102"/>
      <c r="N36" s="103"/>
      <c r="O36" s="103"/>
      <c r="P36" s="100"/>
      <c r="Q36" s="100"/>
      <c r="R36" s="100"/>
      <c r="S36" s="101"/>
    </row>
    <row r="37" spans="1:19" ht="12">
      <c r="A37" s="105" t="s">
        <v>60</v>
      </c>
      <c r="B37" s="106"/>
      <c r="C37" s="107"/>
      <c r="D37" s="106"/>
      <c r="E37" s="106"/>
      <c r="F37" s="106"/>
      <c r="G37" s="106"/>
      <c r="H37" s="107"/>
      <c r="I37" s="108"/>
      <c r="J37" s="108"/>
      <c r="K37" s="108"/>
      <c r="L37" s="108"/>
      <c r="M37" s="109"/>
      <c r="N37" s="106"/>
      <c r="O37" s="106"/>
      <c r="P37" s="106"/>
      <c r="Q37" s="106"/>
      <c r="R37" s="106"/>
      <c r="S37" s="106"/>
    </row>
    <row r="38" spans="1:19" ht="12">
      <c r="A38" s="105" t="s">
        <v>26</v>
      </c>
      <c r="B38" s="106"/>
      <c r="C38" s="107"/>
      <c r="D38" s="106"/>
      <c r="E38" s="106"/>
      <c r="F38" s="106"/>
      <c r="G38" s="106"/>
      <c r="H38" s="107"/>
      <c r="I38" s="108"/>
      <c r="J38" s="108"/>
      <c r="K38" s="108"/>
      <c r="L38" s="108"/>
      <c r="M38" s="109"/>
      <c r="N38" s="106"/>
      <c r="O38" s="106"/>
      <c r="P38" s="106"/>
      <c r="Q38" s="106"/>
      <c r="R38" s="106"/>
      <c r="S38" s="106"/>
    </row>
    <row r="39" spans="1:19" ht="12">
      <c r="A39" s="97" t="s">
        <v>85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1:19" ht="12">
      <c r="A40" s="97" t="s">
        <v>90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1:19" ht="12">
      <c r="A41" s="97" t="s">
        <v>91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ht="12">
      <c r="A42" s="97" t="s">
        <v>95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>
      <c r="A43" s="97" t="s">
        <v>96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12">
      <c r="A44" s="97" t="s">
        <v>101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</sheetData>
  <sheetProtection/>
  <mergeCells count="7">
    <mergeCell ref="B3:S3"/>
    <mergeCell ref="B4:G4"/>
    <mergeCell ref="H4:M4"/>
    <mergeCell ref="N4:S4"/>
    <mergeCell ref="C5:G5"/>
    <mergeCell ref="I5:M5"/>
    <mergeCell ref="O5:S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&amp;R400042.xls</oddHeader>
    <oddFooter>&amp;LComune di Bologna - Dipartimento Programmazione</oddFooter>
  </headerFooter>
  <ignoredErrors>
    <ignoredError sqref="B13:S13 B10:F12 G10:S12 G9:S9 B18:F34 O17:S17 B14:F16 H14:S16 H18:S34" unlockedFormula="1"/>
    <ignoredError sqref="D8:U8 O1" numberStoredAsText="1"/>
    <ignoredError sqref="B17:F17 H17:N17 G18:G34 G14:G16 G17" formulaRange="1" unlockedFormula="1"/>
    <ignoredError sqref="G18:G34 G14:G16" formula="1" unlockedFormula="1"/>
    <ignoredError sqref="G17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2021-04-29T11:28:33Z</cp:lastPrinted>
  <dcterms:created xsi:type="dcterms:W3CDTF">2010-03-03T10:33:46Z</dcterms:created>
  <dcterms:modified xsi:type="dcterms:W3CDTF">2024-03-28T13:18:05Z</dcterms:modified>
  <cp:category/>
  <cp:version/>
  <cp:contentType/>
  <cp:contentStatus/>
</cp:coreProperties>
</file>