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105" windowWidth="5970" windowHeight="6480" tabRatio="801" activeTab="0"/>
  </bookViews>
  <sheets>
    <sheet name="Tavola" sheetId="1" r:id="rId1"/>
    <sheet name="Tavola 2020-2021" sheetId="2" r:id="rId2"/>
    <sheet name="Tavola 2019-2020" sheetId="3" r:id="rId3"/>
    <sheet name="Tavola 2018-2019" sheetId="4" r:id="rId4"/>
    <sheet name="Tavola 2017-2018" sheetId="5" r:id="rId5"/>
    <sheet name="Tavola 2016-2017" sheetId="6" r:id="rId6"/>
    <sheet name="Tavola 2015-2016" sheetId="7" r:id="rId7"/>
    <sheet name="Tavola 2013-2014" sheetId="8" r:id="rId8"/>
    <sheet name="Tavola 2012-2013" sheetId="9" r:id="rId9"/>
    <sheet name="Tavola 2011-2012" sheetId="10" r:id="rId10"/>
    <sheet name="Tavola 2010-2011" sheetId="11" r:id="rId11"/>
    <sheet name="Tavola 2009-2010" sheetId="12" r:id="rId12"/>
    <sheet name="Tavola 2008-2009" sheetId="13" r:id="rId13"/>
    <sheet name="Tavola 2007-2008" sheetId="14" r:id="rId14"/>
    <sheet name="Tavola 2006-2007" sheetId="15" r:id="rId15"/>
    <sheet name="Tavola 2005-2006" sheetId="16" r:id="rId16"/>
    <sheet name="Tavola 2004-2005" sheetId="17" r:id="rId17"/>
    <sheet name="Tavola 2003-2004" sheetId="18" r:id="rId18"/>
    <sheet name="Tavola 2002_2003" sheetId="19" r:id="rId19"/>
    <sheet name="Tavola 2001-2002" sheetId="20" r:id="rId20"/>
  </sheets>
  <definedNames>
    <definedName name="Anno_fine_tavola">#REF!</definedName>
    <definedName name="Anno_inizio_banca_dati">#REF!</definedName>
    <definedName name="_xlnm.Print_Area" localSheetId="0">'Tavola'!$A$1:$M$71</definedName>
    <definedName name="_xlnm.Print_Area" localSheetId="19">'Tavola 2001-2002'!$A$1:$V$40</definedName>
    <definedName name="_xlnm.Print_Area" localSheetId="18">'Tavola 2002_2003'!$A$1:$U$40</definedName>
    <definedName name="_xlnm.Print_Area" localSheetId="17">'Tavola 2003-2004'!$A$1:$U$41</definedName>
    <definedName name="_xlnm.Print_Area" localSheetId="16">'Tavola 2004-2005'!$A$1:$U$41</definedName>
    <definedName name="_xlnm.Print_Area" localSheetId="15">'Tavola 2005-2006'!$A$1:$U$42</definedName>
    <definedName name="_xlnm.Print_Area" localSheetId="14">'Tavola 2006-2007'!$A$1:$U$86</definedName>
    <definedName name="_xlnm.Print_Area" localSheetId="13">'Tavola 2007-2008'!$A$1:$U$86</definedName>
    <definedName name="_xlnm.Print_Area" localSheetId="12">'Tavola 2008-2009'!$A$1:$U$86</definedName>
    <definedName name="_xlnm.Print_Area" localSheetId="11">'Tavola 2009-2010'!$A$1:$U$85</definedName>
    <definedName name="_xlnm.Print_Area" localSheetId="10">'Tavola 2010-2011'!$A$1:$U$85</definedName>
    <definedName name="_xlnm.Print_Area" localSheetId="9">'Tavola 2011-2012'!$A$1:$U$85</definedName>
    <definedName name="_xlnm.Print_Area" localSheetId="8">'Tavola 2012-2013'!$A$1:$U$73</definedName>
    <definedName name="_xlnm.Print_Area" localSheetId="7">'Tavola 2013-2014'!$A$1:$U$75</definedName>
    <definedName name="_xlnm.Print_Area" localSheetId="6">'Tavola 2015-2016'!$A$1:$U$71</definedName>
    <definedName name="_xlnm.Print_Area" localSheetId="5">'Tavola 2016-2017'!$A$1:$U$71</definedName>
    <definedName name="_xlnm.Print_Area" localSheetId="4">'Tavola 2017-2018'!$A$1:$U$71</definedName>
    <definedName name="_xlnm.Print_Area" localSheetId="3">'Tavola 2018-2019'!$A$1:$U$71</definedName>
    <definedName name="_xlnm.Print_Area" localSheetId="2">'Tavola 2019-2020'!$A$1:$M$71</definedName>
    <definedName name="_xlnm.Print_Area" localSheetId="1">'Tavola 2020-2021'!$A$1:$M$71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<sst xmlns="http://schemas.openxmlformats.org/spreadsheetml/2006/main" count="2247" uniqueCount="158">
  <si>
    <t>(1)</t>
  </si>
  <si>
    <t xml:space="preserve">Anni </t>
  </si>
  <si>
    <t>Facoltà</t>
  </si>
  <si>
    <t xml:space="preserve"> Totali</t>
  </si>
  <si>
    <t xml:space="preserve"> di</t>
  </si>
  <si>
    <t>Giuri-</t>
  </si>
  <si>
    <t>Scienze</t>
  </si>
  <si>
    <t>Econo-</t>
  </si>
  <si>
    <t>Lettere</t>
  </si>
  <si>
    <t>Scuola</t>
  </si>
  <si>
    <t>Medi-</t>
  </si>
  <si>
    <t>Chimica</t>
  </si>
  <si>
    <t xml:space="preserve"> Far-</t>
  </si>
  <si>
    <t>Inge-</t>
  </si>
  <si>
    <t>Agra-</t>
  </si>
  <si>
    <t>Lingue</t>
  </si>
  <si>
    <t>Psico-</t>
  </si>
  <si>
    <t>Conser-</t>
  </si>
  <si>
    <t>corso</t>
  </si>
  <si>
    <t>spru-</t>
  </si>
  <si>
    <t>poli-</t>
  </si>
  <si>
    <t>mia</t>
  </si>
  <si>
    <t>statisti-</t>
  </si>
  <si>
    <t xml:space="preserve"> e </t>
  </si>
  <si>
    <t xml:space="preserve"> della</t>
  </si>
  <si>
    <t>super.</t>
  </si>
  <si>
    <t>cina e</t>
  </si>
  <si>
    <t>mat.</t>
  </si>
  <si>
    <t>indu-</t>
  </si>
  <si>
    <t>macia</t>
  </si>
  <si>
    <t>gneria</t>
  </si>
  <si>
    <t>ria</t>
  </si>
  <si>
    <t>cina</t>
  </si>
  <si>
    <t xml:space="preserve">e </t>
  </si>
  <si>
    <t>logia</t>
  </si>
  <si>
    <t xml:space="preserve">vazione </t>
  </si>
  <si>
    <t>denza</t>
  </si>
  <si>
    <t>tiche</t>
  </si>
  <si>
    <t>che</t>
  </si>
  <si>
    <t xml:space="preserve"> Filo-</t>
  </si>
  <si>
    <t>forma-</t>
  </si>
  <si>
    <t>interpr.</t>
  </si>
  <si>
    <t>Chi-</t>
  </si>
  <si>
    <t>fisiche</t>
  </si>
  <si>
    <t>striale</t>
  </si>
  <si>
    <t>vete-</t>
  </si>
  <si>
    <t xml:space="preserve">beni </t>
  </si>
  <si>
    <t>sofia</t>
  </si>
  <si>
    <t>zione</t>
  </si>
  <si>
    <t>e tradutt.</t>
  </si>
  <si>
    <t>rurgia</t>
  </si>
  <si>
    <t>rinaria</t>
  </si>
  <si>
    <t>stran.</t>
  </si>
  <si>
    <t>cultur.</t>
  </si>
  <si>
    <t>Maschi e femmine</t>
  </si>
  <si>
    <t xml:space="preserve">  1° anno</t>
  </si>
  <si>
    <t xml:space="preserve">  2° anno</t>
  </si>
  <si>
    <t xml:space="preserve">  3° anno</t>
  </si>
  <si>
    <t xml:space="preserve">  4° anno</t>
  </si>
  <si>
    <t xml:space="preserve">  5° anno</t>
  </si>
  <si>
    <t xml:space="preserve">  6° anno</t>
  </si>
  <si>
    <t xml:space="preserve">  In corso</t>
  </si>
  <si>
    <t xml:space="preserve">  Fuori corso</t>
  </si>
  <si>
    <t>Totale iscritti</t>
  </si>
  <si>
    <t>Maschi</t>
  </si>
  <si>
    <t>Femmine</t>
  </si>
  <si>
    <t>Fonte: Università degli Studi di Bologna.</t>
  </si>
  <si>
    <t>FACOLTÀ' UNIVERSITARIE</t>
  </si>
  <si>
    <t>1° anno</t>
  </si>
  <si>
    <t>2° anno</t>
  </si>
  <si>
    <t>3° anno</t>
  </si>
  <si>
    <t>4° anno</t>
  </si>
  <si>
    <t>5° anno</t>
  </si>
  <si>
    <t>6° anno</t>
  </si>
  <si>
    <t>Totali</t>
  </si>
  <si>
    <t>Fuori corso</t>
  </si>
  <si>
    <t>In complesso</t>
  </si>
  <si>
    <t>Archi-</t>
  </si>
  <si>
    <t>tettura</t>
  </si>
  <si>
    <t>Scien.</t>
  </si>
  <si>
    <t>Biotec-</t>
  </si>
  <si>
    <t>nologie</t>
  </si>
  <si>
    <t xml:space="preserve">nat. </t>
  </si>
  <si>
    <t>ver tot dati Univ.</t>
  </si>
  <si>
    <t>moto-</t>
  </si>
  <si>
    <t>rie</t>
  </si>
  <si>
    <t xml:space="preserve">              Maschi</t>
  </si>
  <si>
    <t xml:space="preserve">              Femmine</t>
  </si>
  <si>
    <t>(1) Dal 1996-97 la rilevazione è riferita al 31 luglio come da disposizioni ISTAT. A partire dal 2001-02 è stata avviata la riforma: sono compresi i corsi di  laurea pre-riforma, i corsi di laurea triennali post-riforma</t>
  </si>
  <si>
    <t>Far-</t>
  </si>
  <si>
    <t>e i corsi di  laurea specialistici a troncone unico (post-riforma). I corsi di laurea specialistici ("più due" post-riforma) sono stati avviati a Bologna nel 2002-03.</t>
  </si>
  <si>
    <t>post-riforma e i corsi di  laurea specialistici a troncone unico (post-riforma). I corsi di laurea specialistici (il più due post-riforma) sono stati avviati a Bologna nel 2002-03.</t>
  </si>
  <si>
    <t xml:space="preserve">(1) Dal 1996-97 la rilevazione è riferita al 31 luglio come da disposizioni ISTAT. A partire dal 2001-02 è stata avviata la riforma: sono compresi i corsi di  laurea pre-riforma, i corsi di laurea triennali </t>
  </si>
  <si>
    <t>culturali</t>
  </si>
  <si>
    <t>straniere</t>
  </si>
  <si>
    <t>Letterature</t>
  </si>
  <si>
    <t>matemati-</t>
  </si>
  <si>
    <t xml:space="preserve">che fisiche </t>
  </si>
  <si>
    <t>e naturali</t>
  </si>
  <si>
    <t>interpreti</t>
  </si>
  <si>
    <t>e traduttori</t>
  </si>
  <si>
    <t>superiore</t>
  </si>
  <si>
    <t>Istruzione Universitaria. Studenti iscritti per facoltà e tipologia di corso.</t>
  </si>
  <si>
    <t xml:space="preserve"> Totale</t>
  </si>
  <si>
    <t>Lauree del vecchio ordinamento</t>
  </si>
  <si>
    <t xml:space="preserve">     Iscritti in corso</t>
  </si>
  <si>
    <t xml:space="preserve">     Iscritti fuori corso</t>
  </si>
  <si>
    <t xml:space="preserve">     Iscritti totali</t>
  </si>
  <si>
    <t>Diplomi del vecchio ordinamento</t>
  </si>
  <si>
    <t>Lauree triennali primo livello</t>
  </si>
  <si>
    <t>Lauree specialistiche secondo livello</t>
  </si>
  <si>
    <t>Lauree specialistiche a ciclo unico</t>
  </si>
  <si>
    <t>Totale</t>
  </si>
  <si>
    <t>(1) Dati al 31 luglio.</t>
  </si>
  <si>
    <t xml:space="preserve">Maschi </t>
  </si>
  <si>
    <t xml:space="preserve">     Iscritti fuori corso e ripetenti</t>
  </si>
  <si>
    <t>Istruzione Universitaria. Studenti iscritti per facoltà, tipologia di corso e sesso.</t>
  </si>
  <si>
    <t>Lauree specialistiche secondo livello e lauree magistrali</t>
  </si>
  <si>
    <t>Istruzione Universitaria. Studenti iscritti per anno di corso e facoltà secondo il sesso. In complesso: Corsi di laurea (pre e post-riforma), Diplomi e Scuole dirette a fini speciali</t>
  </si>
  <si>
    <t>Istruzione Universitaria. Studenti iscritti per anno di corso, facoltà e sesso. In complesso:          Corsi di laurea (pre e post-riforma), Diplomi e Scuole dirette a fini speciali</t>
  </si>
  <si>
    <t>nell'anno accademico 2007-2008</t>
  </si>
  <si>
    <t>nell'anno accademico 2006-2007</t>
  </si>
  <si>
    <t>nell'anno accademico 2005-2006</t>
  </si>
  <si>
    <t>nell'anno accademico 2004 - 2005</t>
  </si>
  <si>
    <t>nell'anno accademico 2003 - 2004</t>
  </si>
  <si>
    <t>nell'anno accademico 2002 - 2003</t>
  </si>
  <si>
    <t>nell'anno accademico 2001 - 2002</t>
  </si>
  <si>
    <t>nell'anno accademico 2008-2009</t>
  </si>
  <si>
    <t>nell'anno accademico 2009-2010</t>
  </si>
  <si>
    <t>nell'anno accademico 2010-2011</t>
  </si>
  <si>
    <t>nell'anno accademico 2011-2012</t>
  </si>
  <si>
    <t>nell'anno accademico 2012-2013</t>
  </si>
  <si>
    <t>(1) (2)</t>
  </si>
  <si>
    <t>(2) Dati al 31 luglio.</t>
  </si>
  <si>
    <t>Istruzione Universitaria. Studenti iscritti per scuola, tipologia di corso e sesso.</t>
  </si>
  <si>
    <t>nell'anno accademico 2013-2014</t>
  </si>
  <si>
    <t>Scuole</t>
  </si>
  <si>
    <t>Agraria e Medicina veterinaria</t>
  </si>
  <si>
    <t>Economia, Management e Statistica</t>
  </si>
  <si>
    <t>Farmacia, Biotecnologie e Scienze motorie</t>
  </si>
  <si>
    <t>Giurisprudenza</t>
  </si>
  <si>
    <t>Ingegneria e Architettura</t>
  </si>
  <si>
    <t>Lettere e Beni culturali</t>
  </si>
  <si>
    <t>Lingue e Letterature, Traduzione e Interpretazione</t>
  </si>
  <si>
    <t>Medicina e Chirurgia</t>
  </si>
  <si>
    <t>Psicologia e Scienze della Formazione</t>
  </si>
  <si>
    <t>Scienze politiche</t>
  </si>
  <si>
    <t>(1) La tavola  prende atto della riorganizzazione dell'Università in Scuole anziché in Facoltà.</t>
  </si>
  <si>
    <t>nell'anno accademico 2015-2016</t>
  </si>
  <si>
    <t>nell'anno accademico 2016-2017</t>
  </si>
  <si>
    <t>nell'anno accademico 2017-2018</t>
  </si>
  <si>
    <t>Lauree primo livello</t>
  </si>
  <si>
    <t>Lauree secondo livello</t>
  </si>
  <si>
    <t>Lauree a ciclo unico</t>
  </si>
  <si>
    <t>nell'anno accademico 2018-2019</t>
  </si>
  <si>
    <t>nell'anno accademico 2019-2020</t>
  </si>
  <si>
    <t>nell'anno accademico 2020-2021</t>
  </si>
  <si>
    <t>nell'anno accademico 2021-2022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</si>
</sst>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"/>
    <numFmt numFmtId="179" formatCode="d\-mmm\-yy"/>
    <numFmt numFmtId="180" formatCode="d\-mmm"/>
    <numFmt numFmtId="181" formatCode="h\.mm\ AM/PM"/>
    <numFmt numFmtId="182" formatCode="h\.mm\.ss\ AM/PM"/>
    <numFmt numFmtId="183" formatCode="h\.mm"/>
    <numFmt numFmtId="184" formatCode="h\.mm\.ss"/>
    <numFmt numFmtId="185" formatCode="d/m/yy\ h\.mm"/>
    <numFmt numFmtId="186" formatCode="d/m"/>
    <numFmt numFmtId="187" formatCode="h\:mm\ AM/PM"/>
    <numFmt numFmtId="188" formatCode="h\:mm\:ss\ AM/PM"/>
    <numFmt numFmtId="189" formatCode="h\:mm"/>
    <numFmt numFmtId="190" formatCode="h\:mm\:ss"/>
    <numFmt numFmtId="191" formatCode="d/m/yy\ h\:mm"/>
    <numFmt numFmtId="192" formatCode="&quot;L.&quot;#,##0"/>
    <numFmt numFmtId="193" formatCode="\ \ \ \ \ \ \ \ \ \ \ \ \ \ \ \ \ \ @"/>
    <numFmt numFmtId="194" formatCode="#,##0.0"/>
  </numFmts>
  <fonts count="61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1"/>
      <name val="Helvetica-Narrow"/>
      <family val="0"/>
    </font>
    <font>
      <sz val="8"/>
      <name val="Helvetica-Narrow"/>
      <family val="0"/>
    </font>
    <font>
      <sz val="9"/>
      <name val="Symbol"/>
      <family val="1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" fillId="0" borderId="0" applyNumberFormat="0" applyAlignment="0" applyProtection="0"/>
    <xf numFmtId="192" fontId="0" fillId="0" borderId="4" applyNumberFormat="0" applyAlignment="0" applyProtection="0"/>
    <xf numFmtId="192" fontId="0" fillId="0" borderId="5" applyNumberFormat="0" applyAlignment="0" applyProtection="0"/>
    <xf numFmtId="0" fontId="49" fillId="28" borderId="1" applyNumberFormat="0" applyAlignment="0" applyProtection="0"/>
    <xf numFmtId="4" fontId="4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30" borderId="6" applyNumberFormat="0" applyFont="0" applyAlignment="0" applyProtection="0"/>
    <xf numFmtId="192" fontId="6" fillId="0" borderId="0" applyNumberFormat="0" applyAlignment="0" applyProtection="0"/>
    <xf numFmtId="0" fontId="51" fillId="20" borderId="7" applyNumberFormat="0" applyAlignment="0" applyProtection="0"/>
    <xf numFmtId="9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192" fontId="7" fillId="0" borderId="0" applyNumberFormat="0" applyProtection="0">
      <alignment horizontal="left"/>
    </xf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75" fontId="4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192" fontId="9" fillId="0" borderId="0" xfId="0" applyNumberFormat="1" applyFont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12" xfId="42" applyNumberFormat="1" applyFont="1" applyBorder="1" applyAlignment="1" applyProtection="1">
      <alignment vertical="top"/>
      <protection locked="0"/>
    </xf>
    <xf numFmtId="192" fontId="8" fillId="0" borderId="12" xfId="42" applyNumberFormat="1" applyFont="1" applyBorder="1" applyAlignment="1" applyProtection="1">
      <alignment vertical="top"/>
      <protection locked="0"/>
    </xf>
    <xf numFmtId="192" fontId="11" fillId="0" borderId="12" xfId="0" applyNumberFormat="1" applyFont="1" applyBorder="1" applyAlignment="1" applyProtection="1">
      <alignment vertical="top"/>
      <protection locked="0"/>
    </xf>
    <xf numFmtId="193" fontId="12" fillId="0" borderId="12" xfId="42" applyNumberFormat="1" applyFont="1" applyBorder="1" applyAlignment="1" applyProtection="1">
      <alignment vertical="top"/>
      <protection locked="0"/>
    </xf>
    <xf numFmtId="192" fontId="12" fillId="0" borderId="12" xfId="0" applyNumberFormat="1" applyFont="1" applyBorder="1" applyAlignment="1" applyProtection="1">
      <alignment vertical="top"/>
      <protection locked="0"/>
    </xf>
    <xf numFmtId="192" fontId="9" fillId="0" borderId="12" xfId="0" applyNumberFormat="1" applyFont="1" applyBorder="1" applyAlignment="1" applyProtection="1">
      <alignment vertical="top"/>
      <protection locked="0"/>
    </xf>
    <xf numFmtId="49" fontId="12" fillId="0" borderId="12" xfId="42" applyNumberFormat="1" applyFont="1" applyBorder="1" applyAlignment="1" applyProtection="1">
      <alignment horizontal="right"/>
      <protection locked="0"/>
    </xf>
    <xf numFmtId="192" fontId="13" fillId="0" borderId="12" xfId="0" applyNumberFormat="1" applyFont="1" applyBorder="1" applyAlignment="1" applyProtection="1">
      <alignment vertical="top"/>
      <protection locked="0"/>
    </xf>
    <xf numFmtId="49" fontId="12" fillId="0" borderId="12" xfId="42" applyNumberFormat="1" applyFont="1" applyBorder="1" applyAlignment="1" applyProtection="1">
      <alignment horizontal="left" vertical="top"/>
      <protection locked="0"/>
    </xf>
    <xf numFmtId="0" fontId="10" fillId="0" borderId="0" xfId="0" applyFont="1" applyFill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/>
      <protection/>
    </xf>
    <xf numFmtId="0" fontId="9" fillId="0" borderId="12" xfId="0" applyFont="1" applyBorder="1" applyAlignment="1" applyProtection="1">
      <alignment horizontal="centerContinuous" vertical="center"/>
      <protection locked="0"/>
    </xf>
    <xf numFmtId="0" fontId="14" fillId="0" borderId="12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192" fontId="9" fillId="0" borderId="12" xfId="0" applyNumberFormat="1" applyFont="1" applyBorder="1" applyAlignment="1" applyProtection="1">
      <alignment horizontal="centerContinuous" vertical="center"/>
      <protection locked="0"/>
    </xf>
    <xf numFmtId="3" fontId="9" fillId="0" borderId="0" xfId="0" applyNumberFormat="1" applyFont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3" fontId="14" fillId="0" borderId="0" xfId="0" applyNumberFormat="1" applyFont="1" applyAlignment="1" applyProtection="1">
      <alignment horizontal="right"/>
      <protection/>
    </xf>
    <xf numFmtId="3" fontId="9" fillId="0" borderId="0" xfId="0" applyNumberFormat="1" applyFont="1" applyAlignment="1" applyProtection="1">
      <alignment horizontal="right"/>
      <protection/>
    </xf>
    <xf numFmtId="3" fontId="9" fillId="0" borderId="0" xfId="0" applyNumberFormat="1" applyFont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9" fillId="0" borderId="12" xfId="0" applyFont="1" applyBorder="1" applyAlignment="1" applyProtection="1">
      <alignment vertical="top"/>
      <protection locked="0"/>
    </xf>
    <xf numFmtId="3" fontId="9" fillId="0" borderId="12" xfId="0" applyNumberFormat="1" applyFont="1" applyBorder="1" applyAlignment="1" applyProtection="1">
      <alignment horizontal="right" vertical="top"/>
      <protection locked="0"/>
    </xf>
    <xf numFmtId="3" fontId="9" fillId="0" borderId="12" xfId="0" applyNumberFormat="1" applyFont="1" applyBorder="1" applyAlignment="1" applyProtection="1">
      <alignment horizontal="right" vertical="top"/>
      <protection/>
    </xf>
    <xf numFmtId="3" fontId="15" fillId="0" borderId="5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/>
      <protection locked="0"/>
    </xf>
    <xf numFmtId="3" fontId="9" fillId="0" borderId="0" xfId="0" applyNumberFormat="1" applyFont="1" applyBorder="1" applyAlignment="1" applyProtection="1">
      <alignment/>
      <protection locked="0"/>
    </xf>
    <xf numFmtId="3" fontId="14" fillId="0" borderId="0" xfId="0" applyNumberFormat="1" applyFont="1" applyAlignment="1">
      <alignment/>
    </xf>
    <xf numFmtId="3" fontId="9" fillId="0" borderId="0" xfId="0" applyNumberFormat="1" applyFont="1" applyAlignment="1" applyProtection="1">
      <alignment/>
      <protection/>
    </xf>
    <xf numFmtId="3" fontId="10" fillId="0" borderId="0" xfId="0" applyNumberFormat="1" applyFont="1" applyFill="1" applyAlignment="1" applyProtection="1">
      <alignment/>
      <protection locked="0"/>
    </xf>
    <xf numFmtId="0" fontId="9" fillId="0" borderId="0" xfId="0" applyFont="1" applyBorder="1" applyAlignment="1" applyProtection="1">
      <alignment/>
      <protection/>
    </xf>
    <xf numFmtId="3" fontId="9" fillId="0" borderId="0" xfId="0" applyNumberFormat="1" applyFont="1" applyAlignment="1" applyProtection="1">
      <alignment/>
      <protection locked="0"/>
    </xf>
    <xf numFmtId="3" fontId="16" fillId="0" borderId="0" xfId="0" applyNumberFormat="1" applyFont="1" applyFill="1" applyAlignment="1" applyProtection="1">
      <alignment/>
      <protection locked="0"/>
    </xf>
    <xf numFmtId="3" fontId="16" fillId="0" borderId="0" xfId="0" applyNumberFormat="1" applyFont="1" applyFill="1" applyBorder="1" applyAlignment="1" applyProtection="1">
      <alignment/>
      <protection locked="0"/>
    </xf>
    <xf numFmtId="0" fontId="15" fillId="0" borderId="0" xfId="0" applyFont="1" applyAlignment="1">
      <alignment vertical="center"/>
    </xf>
    <xf numFmtId="3" fontId="15" fillId="0" borderId="0" xfId="0" applyNumberFormat="1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3" fontId="17" fillId="0" borderId="0" xfId="0" applyNumberFormat="1" applyFont="1" applyAlignment="1" applyProtection="1">
      <alignment/>
      <protection locked="0"/>
    </xf>
    <xf numFmtId="0" fontId="15" fillId="0" borderId="0" xfId="0" applyFont="1" applyAlignment="1">
      <alignment/>
    </xf>
    <xf numFmtId="3" fontId="15" fillId="0" borderId="0" xfId="0" applyNumberFormat="1" applyFont="1" applyFill="1" applyAlignment="1" applyProtection="1">
      <alignment/>
      <protection locked="0"/>
    </xf>
    <xf numFmtId="3" fontId="15" fillId="0" borderId="0" xfId="0" applyNumberFormat="1" applyFont="1" applyAlignment="1" applyProtection="1">
      <alignment/>
      <protection/>
    </xf>
    <xf numFmtId="3" fontId="16" fillId="0" borderId="0" xfId="0" applyNumberFormat="1" applyFont="1" applyFill="1" applyAlignment="1" applyProtection="1">
      <alignment vertical="center"/>
      <protection locked="0"/>
    </xf>
    <xf numFmtId="3" fontId="18" fillId="33" borderId="0" xfId="0" applyNumberFormat="1" applyFont="1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3" fontId="15" fillId="0" borderId="0" xfId="0" applyNumberFormat="1" applyFont="1" applyAlignment="1" applyProtection="1">
      <alignment horizontal="centerContinuous" vertical="center"/>
      <protection/>
    </xf>
    <xf numFmtId="0" fontId="14" fillId="0" borderId="0" xfId="0" applyFont="1" applyAlignment="1">
      <alignment horizontal="centerContinuous"/>
    </xf>
    <xf numFmtId="3" fontId="10" fillId="0" borderId="0" xfId="0" applyNumberFormat="1" applyFont="1" applyFill="1" applyAlignment="1" applyProtection="1">
      <alignment vertical="center"/>
      <protection locked="0"/>
    </xf>
    <xf numFmtId="3" fontId="9" fillId="0" borderId="0" xfId="0" applyNumberFormat="1" applyFont="1" applyAlignment="1" applyProtection="1">
      <alignment vertical="center"/>
      <protection locked="0"/>
    </xf>
    <xf numFmtId="3" fontId="9" fillId="0" borderId="0" xfId="0" applyNumberFormat="1" applyFont="1" applyAlignment="1" applyProtection="1">
      <alignment/>
      <protection/>
    </xf>
    <xf numFmtId="3" fontId="15" fillId="0" borderId="0" xfId="0" applyNumberFormat="1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3" fontId="15" fillId="0" borderId="0" xfId="0" applyNumberFormat="1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2" fillId="0" borderId="0" xfId="50" applyNumberFormat="1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3" fontId="15" fillId="0" borderId="0" xfId="0" applyNumberFormat="1" applyFont="1" applyAlignment="1" applyProtection="1">
      <alignment/>
      <protection locked="0"/>
    </xf>
    <xf numFmtId="3" fontId="15" fillId="0" borderId="0" xfId="0" applyNumberFormat="1" applyFont="1" applyAlignment="1" applyProtection="1">
      <alignment horizontal="centerContinuous" vertical="center"/>
      <protection locked="0"/>
    </xf>
    <xf numFmtId="3" fontId="9" fillId="0" borderId="0" xfId="0" applyNumberFormat="1" applyFont="1" applyAlignment="1" applyProtection="1">
      <alignment horizontal="centerContinuous" vertical="center"/>
      <protection/>
    </xf>
    <xf numFmtId="0" fontId="15" fillId="0" borderId="12" xfId="0" applyFont="1" applyBorder="1" applyAlignment="1">
      <alignment/>
    </xf>
    <xf numFmtId="3" fontId="15" fillId="0" borderId="12" xfId="0" applyNumberFormat="1" applyFont="1" applyFill="1" applyBorder="1" applyAlignment="1" applyProtection="1">
      <alignment/>
      <protection locked="0"/>
    </xf>
    <xf numFmtId="3" fontId="15" fillId="0" borderId="12" xfId="0" applyNumberFormat="1" applyFont="1" applyBorder="1" applyAlignment="1" applyProtection="1">
      <alignment/>
      <protection/>
    </xf>
    <xf numFmtId="3" fontId="15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192" fontId="19" fillId="0" borderId="0" xfId="50" applyNumberFormat="1" applyFont="1" applyAlignment="1" applyProtection="1">
      <alignment horizontal="left"/>
      <protection/>
    </xf>
    <xf numFmtId="192" fontId="19" fillId="0" borderId="0" xfId="50" applyNumberFormat="1" applyFont="1" applyAlignment="1" applyProtection="1">
      <alignment horizontal="left"/>
      <protection locked="0"/>
    </xf>
    <xf numFmtId="0" fontId="19" fillId="0" borderId="0" xfId="50" applyNumberFormat="1" applyFont="1" applyAlignment="1" applyProtection="1">
      <alignment horizontal="left"/>
      <protection locked="0"/>
    </xf>
    <xf numFmtId="0" fontId="20" fillId="0" borderId="0" xfId="50" applyNumberFormat="1" applyFont="1" applyFill="1" applyAlignment="1" applyProtection="1">
      <alignment horizontal="left"/>
      <protection locked="0"/>
    </xf>
    <xf numFmtId="0" fontId="19" fillId="0" borderId="0" xfId="0" applyFont="1" applyAlignment="1" applyProtection="1">
      <alignment/>
      <protection/>
    </xf>
    <xf numFmtId="3" fontId="19" fillId="0" borderId="0" xfId="0" applyNumberFormat="1" applyFont="1" applyAlignment="1" applyProtection="1">
      <alignment/>
      <protection locked="0"/>
    </xf>
    <xf numFmtId="3" fontId="20" fillId="0" borderId="0" xfId="0" applyNumberFormat="1" applyFont="1" applyFill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3" fontId="16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Font="1" applyFill="1" applyAlignment="1">
      <alignment horizontal="centerContinuous"/>
    </xf>
    <xf numFmtId="3" fontId="16" fillId="0" borderId="0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/>
      <protection locked="0"/>
    </xf>
    <xf numFmtId="3" fontId="10" fillId="0" borderId="0" xfId="0" applyNumberFormat="1" applyFont="1" applyFill="1" applyBorder="1" applyAlignment="1" applyProtection="1">
      <alignment/>
      <protection locked="0"/>
    </xf>
    <xf numFmtId="3" fontId="10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/>
    </xf>
    <xf numFmtId="3" fontId="16" fillId="0" borderId="0" xfId="0" applyNumberFormat="1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6" fillId="0" borderId="0" xfId="0" applyFont="1" applyFill="1" applyAlignment="1">
      <alignment vertical="center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>
      <alignment/>
    </xf>
    <xf numFmtId="3" fontId="16" fillId="0" borderId="0" xfId="0" applyNumberFormat="1" applyFont="1" applyFill="1" applyAlignment="1" applyProtection="1">
      <alignment/>
      <protection locked="0"/>
    </xf>
    <xf numFmtId="3" fontId="16" fillId="0" borderId="0" xfId="0" applyNumberFormat="1" applyFont="1" applyFill="1" applyAlignment="1" applyProtection="1">
      <alignment horizontal="centerContinuous" vertical="center"/>
      <protection/>
    </xf>
    <xf numFmtId="3" fontId="10" fillId="0" borderId="0" xfId="0" applyNumberFormat="1" applyFont="1" applyFill="1" applyAlignment="1" applyProtection="1">
      <alignment/>
      <protection/>
    </xf>
    <xf numFmtId="3" fontId="16" fillId="0" borderId="0" xfId="0" applyNumberFormat="1" applyFont="1" applyFill="1" applyAlignment="1" applyProtection="1">
      <alignment/>
      <protection/>
    </xf>
    <xf numFmtId="3" fontId="21" fillId="0" borderId="0" xfId="50" applyNumberFormat="1" applyFont="1" applyFill="1" applyAlignment="1" applyProtection="1">
      <alignment horizontal="left"/>
      <protection locked="0"/>
    </xf>
    <xf numFmtId="0" fontId="21" fillId="0" borderId="0" xfId="50" applyNumberFormat="1" applyFont="1" applyFill="1" applyAlignment="1" applyProtection="1">
      <alignment horizontal="left"/>
      <protection locked="0"/>
    </xf>
    <xf numFmtId="0" fontId="20" fillId="0" borderId="0" xfId="0" applyFont="1" applyFill="1" applyAlignment="1" applyProtection="1">
      <alignment/>
      <protection locked="0"/>
    </xf>
    <xf numFmtId="3" fontId="16" fillId="0" borderId="0" xfId="0" applyNumberFormat="1" applyFont="1" applyFill="1" applyAlignment="1" applyProtection="1">
      <alignment horizontal="centerContinuous" vertical="center"/>
      <protection locked="0"/>
    </xf>
    <xf numFmtId="3" fontId="10" fillId="0" borderId="0" xfId="0" applyNumberFormat="1" applyFont="1" applyFill="1" applyAlignment="1" applyProtection="1">
      <alignment horizontal="centerContinuous" vertical="center"/>
      <protection/>
    </xf>
    <xf numFmtId="3" fontId="16" fillId="0" borderId="0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Alignment="1">
      <alignment/>
    </xf>
    <xf numFmtId="3" fontId="15" fillId="0" borderId="0" xfId="0" applyNumberFormat="1" applyFont="1" applyAlignment="1" applyProtection="1">
      <alignment/>
      <protection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 applyProtection="1">
      <alignment horizontal="centerContinuous" vertical="center"/>
      <protection locked="0"/>
    </xf>
    <xf numFmtId="3" fontId="15" fillId="0" borderId="0" xfId="0" applyNumberFormat="1" applyFont="1" applyBorder="1" applyAlignment="1" applyProtection="1">
      <alignment horizontal="centerContinuous"/>
      <protection/>
    </xf>
    <xf numFmtId="192" fontId="8" fillId="0" borderId="0" xfId="42" applyNumberFormat="1" applyFont="1" applyAlignment="1" applyProtection="1">
      <alignment horizontal="left" wrapText="1"/>
      <protection locked="0"/>
    </xf>
    <xf numFmtId="0" fontId="22" fillId="0" borderId="12" xfId="42" applyNumberFormat="1" applyFont="1" applyBorder="1" applyAlignment="1" applyProtection="1">
      <alignment vertical="top"/>
      <protection locked="0"/>
    </xf>
    <xf numFmtId="49" fontId="12" fillId="0" borderId="12" xfId="42" applyNumberFormat="1" applyFont="1" applyBorder="1" applyAlignment="1" applyProtection="1">
      <alignment horizontal="left"/>
      <protection locked="0"/>
    </xf>
    <xf numFmtId="3" fontId="15" fillId="0" borderId="0" xfId="0" applyNumberFormat="1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vertical="center"/>
      <protection locked="0"/>
    </xf>
    <xf numFmtId="3" fontId="14" fillId="0" borderId="0" xfId="0" applyNumberFormat="1" applyFont="1" applyAlignment="1">
      <alignment horizontal="centerContinuous"/>
    </xf>
    <xf numFmtId="49" fontId="12" fillId="0" borderId="0" xfId="42" applyNumberFormat="1" applyFont="1" applyBorder="1" applyAlignment="1" applyProtection="1">
      <alignment horizontal="left"/>
      <protection locked="0"/>
    </xf>
    <xf numFmtId="3" fontId="15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192" fontId="14" fillId="0" borderId="0" xfId="0" applyNumberFormat="1" applyFont="1" applyAlignment="1" applyProtection="1">
      <alignment/>
      <protection locked="0"/>
    </xf>
    <xf numFmtId="49" fontId="23" fillId="0" borderId="0" xfId="42" applyNumberFormat="1" applyFont="1" applyBorder="1" applyAlignment="1" applyProtection="1">
      <alignment horizontal="left"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4" fillId="0" borderId="12" xfId="42" applyNumberFormat="1" applyFont="1" applyBorder="1" applyAlignment="1" applyProtection="1">
      <alignment vertical="top"/>
      <protection locked="0"/>
    </xf>
    <xf numFmtId="192" fontId="14" fillId="0" borderId="12" xfId="0" applyNumberFormat="1" applyFont="1" applyBorder="1" applyAlignment="1" applyProtection="1">
      <alignment vertical="top"/>
      <protection locked="0"/>
    </xf>
    <xf numFmtId="192" fontId="25" fillId="0" borderId="12" xfId="0" applyNumberFormat="1" applyFont="1" applyBorder="1" applyAlignment="1" applyProtection="1">
      <alignment vertical="top"/>
      <protection locked="0"/>
    </xf>
    <xf numFmtId="193" fontId="23" fillId="0" borderId="12" xfId="42" applyNumberFormat="1" applyFont="1" applyBorder="1" applyAlignment="1" applyProtection="1">
      <alignment vertical="top"/>
      <protection locked="0"/>
    </xf>
    <xf numFmtId="192" fontId="26" fillId="0" borderId="12" xfId="42" applyNumberFormat="1" applyFont="1" applyBorder="1" applyAlignment="1" applyProtection="1">
      <alignment vertical="top"/>
      <protection locked="0"/>
    </xf>
    <xf numFmtId="192" fontId="19" fillId="0" borderId="12" xfId="0" applyNumberFormat="1" applyFont="1" applyBorder="1" applyAlignment="1" applyProtection="1">
      <alignment vertical="top"/>
      <protection locked="0"/>
    </xf>
    <xf numFmtId="49" fontId="12" fillId="0" borderId="0" xfId="42" applyNumberFormat="1" applyFont="1" applyBorder="1" applyAlignment="1" applyProtection="1">
      <alignment horizontal="right"/>
      <protection locked="0"/>
    </xf>
    <xf numFmtId="192" fontId="23" fillId="0" borderId="12" xfId="0" applyNumberFormat="1" applyFont="1" applyBorder="1" applyAlignment="1" applyProtection="1">
      <alignment vertical="top"/>
      <protection locked="0"/>
    </xf>
    <xf numFmtId="49" fontId="23" fillId="0" borderId="12" xfId="42" applyNumberFormat="1" applyFont="1" applyBorder="1" applyAlignment="1" applyProtection="1">
      <alignment horizontal="left" vertical="top"/>
      <protection locked="0"/>
    </xf>
    <xf numFmtId="0" fontId="14" fillId="0" borderId="0" xfId="0" applyFont="1" applyFill="1" applyAlignment="1" applyProtection="1">
      <alignment vertical="top"/>
      <protection locked="0"/>
    </xf>
    <xf numFmtId="0" fontId="14" fillId="0" borderId="0" xfId="0" applyFont="1" applyAlignment="1" applyProtection="1">
      <alignment vertical="top"/>
      <protection locked="0"/>
    </xf>
    <xf numFmtId="0" fontId="14" fillId="0" borderId="0" xfId="0" applyFont="1" applyAlignment="1" applyProtection="1">
      <alignment/>
      <protection/>
    </xf>
    <xf numFmtId="3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3" fontId="14" fillId="0" borderId="0" xfId="0" applyNumberFormat="1" applyFont="1" applyAlignment="1" applyProtection="1">
      <alignment horizontal="right"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4" fillId="0" borderId="12" xfId="0" applyFont="1" applyBorder="1" applyAlignment="1" applyProtection="1">
      <alignment vertical="top"/>
      <protection locked="0"/>
    </xf>
    <xf numFmtId="3" fontId="14" fillId="0" borderId="12" xfId="0" applyNumberFormat="1" applyFont="1" applyBorder="1" applyAlignment="1" applyProtection="1">
      <alignment horizontal="right" vertical="top"/>
      <protection locked="0"/>
    </xf>
    <xf numFmtId="3" fontId="14" fillId="0" borderId="12" xfId="0" applyNumberFormat="1" applyFont="1" applyBorder="1" applyAlignment="1" applyProtection="1">
      <alignment horizontal="right" vertical="top"/>
      <protection/>
    </xf>
    <xf numFmtId="3" fontId="27" fillId="0" borderId="5" xfId="0" applyNumberFormat="1" applyFont="1" applyBorder="1" applyAlignment="1" applyProtection="1">
      <alignment horizontal="center" vertical="center"/>
      <protection locked="0"/>
    </xf>
    <xf numFmtId="3" fontId="27" fillId="0" borderId="0" xfId="0" applyNumberFormat="1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vertical="center"/>
      <protection locked="0"/>
    </xf>
    <xf numFmtId="0" fontId="27" fillId="0" borderId="0" xfId="0" applyFont="1" applyAlignment="1">
      <alignment vertical="center" wrapText="1"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 applyProtection="1">
      <alignment/>
      <protection locked="0"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left"/>
      <protection/>
    </xf>
    <xf numFmtId="0" fontId="14" fillId="0" borderId="0" xfId="0" applyNumberFormat="1" applyFont="1" applyBorder="1" applyAlignment="1">
      <alignment/>
    </xf>
    <xf numFmtId="0" fontId="14" fillId="0" borderId="0" xfId="48" applyNumberFormat="1" applyFont="1" applyBorder="1">
      <alignment/>
      <protection/>
    </xf>
    <xf numFmtId="3" fontId="14" fillId="0" borderId="0" xfId="0" applyNumberFormat="1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3" fontId="27" fillId="0" borderId="0" xfId="0" applyNumberFormat="1" applyFont="1" applyBorder="1" applyAlignment="1">
      <alignment/>
    </xf>
    <xf numFmtId="3" fontId="27" fillId="0" borderId="0" xfId="0" applyNumberFormat="1" applyFont="1" applyFill="1" applyBorder="1" applyAlignment="1" applyProtection="1">
      <alignment/>
      <protection locked="0"/>
    </xf>
    <xf numFmtId="3" fontId="14" fillId="0" borderId="0" xfId="0" applyNumberFormat="1" applyFont="1" applyBorder="1" applyAlignment="1" applyProtection="1">
      <alignment vertical="center"/>
      <protection locked="0"/>
    </xf>
    <xf numFmtId="3" fontId="27" fillId="0" borderId="0" xfId="0" applyNumberFormat="1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3" fontId="27" fillId="0" borderId="0" xfId="0" applyNumberFormat="1" applyFont="1" applyFill="1" applyBorder="1" applyAlignment="1" applyProtection="1">
      <alignment/>
      <protection locked="0"/>
    </xf>
    <xf numFmtId="3" fontId="27" fillId="0" borderId="0" xfId="0" applyNumberFormat="1" applyFont="1" applyFill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19" fillId="0" borderId="0" xfId="50" applyNumberFormat="1" applyFont="1" applyFill="1" applyBorder="1" applyAlignment="1" applyProtection="1">
      <alignment horizontal="left"/>
      <protection locked="0"/>
    </xf>
    <xf numFmtId="0" fontId="19" fillId="0" borderId="0" xfId="50" applyNumberFormat="1" applyFont="1" applyBorder="1" applyAlignment="1" applyProtection="1">
      <alignment horizontal="left"/>
      <protection locked="0"/>
    </xf>
    <xf numFmtId="3" fontId="14" fillId="0" borderId="0" xfId="0" applyNumberFormat="1" applyFont="1" applyFill="1" applyBorder="1" applyAlignment="1" applyProtection="1">
      <alignment/>
      <protection locked="0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 applyProtection="1">
      <alignment/>
      <protection locked="0"/>
    </xf>
    <xf numFmtId="3" fontId="14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Border="1" applyAlignment="1" applyProtection="1">
      <alignment/>
      <protection locked="0"/>
    </xf>
    <xf numFmtId="3" fontId="27" fillId="0" borderId="0" xfId="0" applyNumberFormat="1" applyFont="1" applyBorder="1" applyAlignment="1" applyProtection="1">
      <alignment horizontal="centerContinuous" vertical="center"/>
      <protection/>
    </xf>
    <xf numFmtId="0" fontId="14" fillId="0" borderId="0" xfId="0" applyFont="1" applyBorder="1" applyAlignment="1">
      <alignment horizontal="centerContinuous"/>
    </xf>
    <xf numFmtId="0" fontId="14" fillId="0" borderId="0" xfId="0" applyFont="1" applyBorder="1" applyAlignment="1">
      <alignment/>
    </xf>
    <xf numFmtId="3" fontId="14" fillId="0" borderId="0" xfId="0" applyNumberFormat="1" applyFont="1" applyFill="1" applyBorder="1" applyAlignment="1" applyProtection="1">
      <alignment vertical="center"/>
      <protection locked="0"/>
    </xf>
    <xf numFmtId="3" fontId="14" fillId="0" borderId="0" xfId="0" applyNumberFormat="1" applyFont="1" applyBorder="1" applyAlignment="1" applyProtection="1">
      <alignment/>
      <protection/>
    </xf>
    <xf numFmtId="3" fontId="27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27" fillId="0" borderId="0" xfId="0" applyNumberFormat="1" applyFont="1" applyFill="1" applyAlignment="1" applyProtection="1">
      <alignment/>
      <protection locked="0"/>
    </xf>
    <xf numFmtId="3" fontId="27" fillId="0" borderId="0" xfId="0" applyNumberFormat="1" applyFont="1" applyAlignment="1" applyProtection="1">
      <alignment/>
      <protection locked="0"/>
    </xf>
    <xf numFmtId="0" fontId="14" fillId="0" borderId="12" xfId="0" applyFont="1" applyBorder="1" applyAlignment="1" applyProtection="1">
      <alignment horizontal="left"/>
      <protection/>
    </xf>
    <xf numFmtId="3" fontId="27" fillId="0" borderId="12" xfId="0" applyNumberFormat="1" applyFont="1" applyBorder="1" applyAlignment="1">
      <alignment/>
    </xf>
    <xf numFmtId="3" fontId="27" fillId="0" borderId="0" xfId="0" applyNumberFormat="1" applyFont="1" applyAlignment="1" applyProtection="1">
      <alignment/>
      <protection/>
    </xf>
    <xf numFmtId="3" fontId="27" fillId="0" borderId="0" xfId="0" applyNumberFormat="1" applyFont="1" applyAlignment="1" applyProtection="1">
      <alignment/>
      <protection/>
    </xf>
    <xf numFmtId="0" fontId="23" fillId="0" borderId="0" xfId="50" applyNumberFormat="1" applyFont="1" applyFill="1" applyAlignment="1" applyProtection="1">
      <alignment horizontal="left"/>
      <protection locked="0"/>
    </xf>
    <xf numFmtId="0" fontId="23" fillId="0" borderId="0" xfId="50" applyNumberFormat="1" applyFont="1" applyAlignment="1" applyProtection="1">
      <alignment horizontal="left"/>
      <protection locked="0"/>
    </xf>
    <xf numFmtId="3" fontId="14" fillId="0" borderId="0" xfId="0" applyNumberFormat="1" applyFont="1" applyAlignment="1" applyProtection="1">
      <alignment/>
      <protection/>
    </xf>
    <xf numFmtId="0" fontId="19" fillId="0" borderId="0" xfId="0" applyFont="1" applyFill="1" applyAlignment="1" applyProtection="1">
      <alignment/>
      <protection locked="0"/>
    </xf>
    <xf numFmtId="0" fontId="27" fillId="0" borderId="0" xfId="0" applyFont="1" applyAlignment="1">
      <alignment/>
    </xf>
    <xf numFmtId="3" fontId="27" fillId="0" borderId="0" xfId="0" applyNumberFormat="1" applyFont="1" applyFill="1" applyAlignment="1" applyProtection="1">
      <alignment/>
      <protection locked="0"/>
    </xf>
    <xf numFmtId="3" fontId="27" fillId="0" borderId="0" xfId="0" applyNumberFormat="1" applyFont="1" applyAlignment="1" applyProtection="1">
      <alignment/>
      <protection locked="0"/>
    </xf>
    <xf numFmtId="3" fontId="27" fillId="0" borderId="0" xfId="0" applyNumberFormat="1" applyFont="1" applyAlignment="1" applyProtection="1">
      <alignment horizontal="centerContinuous" vertical="center"/>
      <protection locked="0"/>
    </xf>
    <xf numFmtId="3" fontId="14" fillId="0" borderId="0" xfId="0" applyNumberFormat="1" applyFont="1" applyAlignment="1" applyProtection="1">
      <alignment horizontal="centerContinuous" vertical="center"/>
      <protection/>
    </xf>
    <xf numFmtId="3" fontId="14" fillId="0" borderId="0" xfId="0" applyNumberFormat="1" applyFont="1" applyFill="1" applyAlignment="1" applyProtection="1">
      <alignment vertical="center"/>
      <protection locked="0"/>
    </xf>
    <xf numFmtId="3" fontId="14" fillId="0" borderId="0" xfId="0" applyNumberFormat="1" applyFont="1" applyAlignment="1" applyProtection="1">
      <alignment vertical="center"/>
      <protection locked="0"/>
    </xf>
    <xf numFmtId="0" fontId="14" fillId="0" borderId="0" xfId="0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 locked="0"/>
    </xf>
    <xf numFmtId="3" fontId="14" fillId="0" borderId="0" xfId="0" applyNumberFormat="1" applyFont="1" applyFill="1" applyAlignment="1" applyProtection="1">
      <alignment/>
      <protection locked="0"/>
    </xf>
    <xf numFmtId="0" fontId="27" fillId="0" borderId="0" xfId="0" applyFont="1" applyAlignment="1">
      <alignment vertical="center"/>
    </xf>
    <xf numFmtId="3" fontId="27" fillId="0" borderId="0" xfId="0" applyNumberFormat="1" applyFont="1" applyAlignment="1" applyProtection="1">
      <alignment vertical="center"/>
      <protection locked="0"/>
    </xf>
    <xf numFmtId="3" fontId="27" fillId="0" borderId="0" xfId="0" applyNumberFormat="1" applyFont="1" applyFill="1" applyAlignment="1" applyProtection="1">
      <alignment vertical="center"/>
      <protection locked="0"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 applyProtection="1">
      <alignment horizontal="centerContinuous" vertical="center"/>
      <protection locked="0"/>
    </xf>
    <xf numFmtId="3" fontId="27" fillId="0" borderId="0" xfId="0" applyNumberFormat="1" applyFont="1" applyBorder="1" applyAlignment="1" applyProtection="1">
      <alignment horizontal="centerContinuous"/>
      <protection/>
    </xf>
    <xf numFmtId="0" fontId="14" fillId="0" borderId="0" xfId="0" applyFont="1" applyBorder="1" applyAlignment="1" applyProtection="1">
      <alignment vertical="center"/>
      <protection locked="0"/>
    </xf>
    <xf numFmtId="192" fontId="26" fillId="0" borderId="0" xfId="42" applyNumberFormat="1" applyFont="1" applyAlignment="1" applyProtection="1">
      <alignment/>
      <protection locked="0"/>
    </xf>
    <xf numFmtId="192" fontId="14" fillId="0" borderId="0" xfId="0" applyNumberFormat="1" applyFont="1" applyFill="1" applyAlignment="1" applyProtection="1">
      <alignment/>
      <protection locked="0"/>
    </xf>
    <xf numFmtId="0" fontId="26" fillId="0" borderId="12" xfId="42" applyNumberFormat="1" applyFont="1" applyBorder="1" applyAlignment="1" applyProtection="1">
      <alignment vertical="top"/>
      <protection locked="0"/>
    </xf>
    <xf numFmtId="192" fontId="14" fillId="0" borderId="12" xfId="0" applyNumberFormat="1" applyFont="1" applyFill="1" applyBorder="1" applyAlignment="1" applyProtection="1">
      <alignment vertical="top"/>
      <protection locked="0"/>
    </xf>
    <xf numFmtId="3" fontId="14" fillId="0" borderId="0" xfId="0" applyNumberFormat="1" applyFont="1" applyFill="1" applyAlignment="1" applyProtection="1">
      <alignment horizontal="right"/>
      <protection/>
    </xf>
    <xf numFmtId="3" fontId="14" fillId="0" borderId="12" xfId="0" applyNumberFormat="1" applyFont="1" applyFill="1" applyBorder="1" applyAlignment="1" applyProtection="1">
      <alignment horizontal="right" vertical="top"/>
      <protection/>
    </xf>
    <xf numFmtId="3" fontId="27" fillId="0" borderId="5" xfId="0" applyNumberFormat="1" applyFont="1" applyFill="1" applyBorder="1" applyAlignment="1" applyProtection="1">
      <alignment horizontal="center" vertical="center"/>
      <protection locked="0"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>
      <alignment/>
    </xf>
    <xf numFmtId="3" fontId="14" fillId="0" borderId="0" xfId="48" applyNumberFormat="1" applyFont="1" applyBorder="1">
      <alignment/>
      <protection/>
    </xf>
    <xf numFmtId="3" fontId="27" fillId="0" borderId="12" xfId="0" applyNumberFormat="1" applyFont="1" applyFill="1" applyBorder="1" applyAlignment="1">
      <alignment/>
    </xf>
    <xf numFmtId="3" fontId="27" fillId="0" borderId="0" xfId="0" applyNumberFormat="1" applyFont="1" applyFill="1" applyAlignment="1" applyProtection="1">
      <alignment/>
      <protection/>
    </xf>
    <xf numFmtId="3" fontId="14" fillId="0" borderId="0" xfId="0" applyNumberFormat="1" applyFont="1" applyFill="1" applyAlignment="1" applyProtection="1">
      <alignment/>
      <protection/>
    </xf>
    <xf numFmtId="3" fontId="27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3" fontId="27" fillId="0" borderId="0" xfId="0" applyNumberFormat="1" applyFont="1" applyFill="1" applyBorder="1" applyAlignment="1" applyProtection="1">
      <alignment horizontal="centerContinuous" vertical="center"/>
      <protection locked="0"/>
    </xf>
    <xf numFmtId="192" fontId="26" fillId="0" borderId="0" xfId="42" applyNumberFormat="1" applyFont="1" applyFill="1" applyAlignment="1" applyProtection="1">
      <alignment/>
      <protection locked="0"/>
    </xf>
    <xf numFmtId="49" fontId="23" fillId="0" borderId="0" xfId="42" applyNumberFormat="1" applyFont="1" applyFill="1" applyBorder="1" applyAlignment="1" applyProtection="1">
      <alignment horizontal="left"/>
      <protection locked="0"/>
    </xf>
    <xf numFmtId="0" fontId="26" fillId="0" borderId="12" xfId="42" applyNumberFormat="1" applyFont="1" applyFill="1" applyBorder="1" applyAlignment="1" applyProtection="1">
      <alignment vertical="top"/>
      <protection locked="0"/>
    </xf>
    <xf numFmtId="192" fontId="25" fillId="0" borderId="12" xfId="0" applyNumberFormat="1" applyFont="1" applyFill="1" applyBorder="1" applyAlignment="1" applyProtection="1">
      <alignment vertical="top"/>
      <protection locked="0"/>
    </xf>
    <xf numFmtId="193" fontId="23" fillId="0" borderId="12" xfId="42" applyNumberFormat="1" applyFont="1" applyFill="1" applyBorder="1" applyAlignment="1" applyProtection="1">
      <alignment vertical="top"/>
      <protection locked="0"/>
    </xf>
    <xf numFmtId="192" fontId="26" fillId="0" borderId="12" xfId="42" applyNumberFormat="1" applyFont="1" applyFill="1" applyBorder="1" applyAlignment="1" applyProtection="1">
      <alignment vertical="top"/>
      <protection locked="0"/>
    </xf>
    <xf numFmtId="192" fontId="19" fillId="0" borderId="12" xfId="0" applyNumberFormat="1" applyFont="1" applyFill="1" applyBorder="1" applyAlignment="1" applyProtection="1">
      <alignment vertical="top"/>
      <protection locked="0"/>
    </xf>
    <xf numFmtId="49" fontId="12" fillId="0" borderId="0" xfId="42" applyNumberFormat="1" applyFont="1" applyFill="1" applyBorder="1" applyAlignment="1" applyProtection="1">
      <alignment horizontal="left"/>
      <protection locked="0"/>
    </xf>
    <xf numFmtId="192" fontId="23" fillId="0" borderId="12" xfId="0" applyNumberFormat="1" applyFont="1" applyFill="1" applyBorder="1" applyAlignment="1" applyProtection="1">
      <alignment vertical="top"/>
      <protection locked="0"/>
    </xf>
    <xf numFmtId="49" fontId="23" fillId="0" borderId="12" xfId="42" applyNumberFormat="1" applyFont="1" applyFill="1" applyBorder="1" applyAlignment="1" applyProtection="1">
      <alignment horizontal="left" vertical="top"/>
      <protection locked="0"/>
    </xf>
    <xf numFmtId="0" fontId="14" fillId="0" borderId="0" xfId="0" applyFont="1" applyFill="1" applyAlignment="1" applyProtection="1">
      <alignment/>
      <protection/>
    </xf>
    <xf numFmtId="3" fontId="14" fillId="0" borderId="0" xfId="0" applyNumberFormat="1" applyFont="1" applyFill="1" applyAlignment="1" applyProtection="1">
      <alignment horizontal="right" vertical="center"/>
      <protection/>
    </xf>
    <xf numFmtId="3" fontId="14" fillId="0" borderId="0" xfId="0" applyNumberFormat="1" applyFont="1" applyFill="1" applyAlignment="1" applyProtection="1">
      <alignment horizontal="right"/>
      <protection locked="0"/>
    </xf>
    <xf numFmtId="0" fontId="14" fillId="0" borderId="0" xfId="0" applyFont="1" applyFill="1" applyAlignment="1">
      <alignment horizontal="right"/>
    </xf>
    <xf numFmtId="0" fontId="14" fillId="0" borderId="12" xfId="0" applyFont="1" applyFill="1" applyBorder="1" applyAlignment="1" applyProtection="1">
      <alignment vertical="top"/>
      <protection locked="0"/>
    </xf>
    <xf numFmtId="3" fontId="14" fillId="0" borderId="12" xfId="0" applyNumberFormat="1" applyFont="1" applyFill="1" applyBorder="1" applyAlignment="1" applyProtection="1">
      <alignment horizontal="right" vertical="top"/>
      <protection locked="0"/>
    </xf>
    <xf numFmtId="0" fontId="14" fillId="0" borderId="5" xfId="0" applyFont="1" applyFill="1" applyBorder="1" applyAlignment="1" applyProtection="1">
      <alignment vertical="center"/>
      <protection locked="0"/>
    </xf>
    <xf numFmtId="0" fontId="27" fillId="0" borderId="0" xfId="0" applyFont="1" applyFill="1" applyAlignment="1">
      <alignment vertical="center" wrapText="1"/>
    </xf>
    <xf numFmtId="0" fontId="14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27" fillId="0" borderId="0" xfId="0" applyFont="1" applyFill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7" fillId="0" borderId="0" xfId="0" applyFont="1" applyFill="1" applyAlignment="1" applyProtection="1">
      <alignment/>
      <protection locked="0"/>
    </xf>
    <xf numFmtId="3" fontId="27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48" applyNumberFormat="1" applyFont="1" applyFill="1" applyBorder="1">
      <alignment/>
      <protection/>
    </xf>
    <xf numFmtId="3" fontId="14" fillId="0" borderId="0" xfId="48" applyNumberFormat="1" applyFont="1" applyFill="1" applyBorder="1">
      <alignment/>
      <protection/>
    </xf>
    <xf numFmtId="0" fontId="14" fillId="0" borderId="12" xfId="0" applyFont="1" applyFill="1" applyBorder="1" applyAlignment="1" applyProtection="1">
      <alignment horizontal="left"/>
      <protection/>
    </xf>
    <xf numFmtId="192" fontId="19" fillId="0" borderId="0" xfId="50" applyNumberFormat="1" applyFont="1" applyFill="1" applyAlignment="1" applyProtection="1">
      <alignment horizontal="left"/>
      <protection/>
    </xf>
    <xf numFmtId="0" fontId="19" fillId="0" borderId="0" xfId="0" applyFont="1" applyFill="1" applyAlignment="1" applyProtection="1">
      <alignment/>
      <protection/>
    </xf>
    <xf numFmtId="3" fontId="14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14" fillId="0" borderId="0" xfId="0" applyFont="1" applyFill="1" applyBorder="1" applyAlignment="1" applyProtection="1">
      <alignment/>
      <protection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/>
    </xf>
    <xf numFmtId="3" fontId="27" fillId="0" borderId="0" xfId="0" applyNumberFormat="1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/>
    </xf>
    <xf numFmtId="0" fontId="14" fillId="0" borderId="0" xfId="0" applyFont="1" applyAlignment="1" applyProtection="1">
      <alignment wrapText="1"/>
      <protection locked="0"/>
    </xf>
    <xf numFmtId="3" fontId="14" fillId="0" borderId="12" xfId="0" applyNumberFormat="1" applyFont="1" applyFill="1" applyBorder="1" applyAlignment="1">
      <alignment/>
    </xf>
    <xf numFmtId="0" fontId="14" fillId="34" borderId="0" xfId="0" applyFont="1" applyFill="1" applyAlignment="1" applyProtection="1">
      <alignment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3" fontId="27" fillId="34" borderId="5" xfId="0" applyNumberFormat="1" applyFont="1" applyFill="1" applyBorder="1" applyAlignment="1" applyProtection="1">
      <alignment horizontal="center" vertical="center"/>
      <protection locked="0"/>
    </xf>
    <xf numFmtId="3" fontId="27" fillId="34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192" fontId="8" fillId="0" borderId="0" xfId="42" applyNumberFormat="1" applyFont="1" applyAlignment="1" applyProtection="1">
      <alignment horizontal="left" wrapText="1"/>
      <protection locked="0"/>
    </xf>
    <xf numFmtId="3" fontId="15" fillId="0" borderId="5" xfId="0" applyNumberFormat="1" applyFont="1" applyBorder="1" applyAlignment="1" applyProtection="1">
      <alignment horizontal="center" vertical="center"/>
      <protection locked="0"/>
    </xf>
    <xf numFmtId="0" fontId="8" fillId="0" borderId="0" xfId="42" applyNumberFormat="1" applyFont="1" applyBorder="1" applyAlignment="1" applyProtection="1">
      <alignment horizontal="left" wrapText="1"/>
      <protection locked="0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Neutrale" xfId="47"/>
    <cellStyle name="Normale_R_4_211" xfId="48"/>
    <cellStyle name="Nota" xfId="49"/>
    <cellStyle name="Note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Trattini" xfId="61"/>
    <cellStyle name="Valore non valido" xfId="62"/>
    <cellStyle name="Valore valido" xfId="63"/>
    <cellStyle name="Currenc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showZeros="0" tabSelected="1" zoomScalePageLayoutView="0" workbookViewId="0" topLeftCell="A1">
      <pane ySplit="7" topLeftCell="A17" activePane="bottomLeft" state="frozen"/>
      <selection pane="topLeft" activeCell="A1" sqref="A1:IV16384"/>
      <selection pane="bottomLeft" activeCell="P43" sqref="P43"/>
    </sheetView>
  </sheetViews>
  <sheetFormatPr defaultColWidth="10.875" defaultRowHeight="12"/>
  <cols>
    <col min="1" max="1" width="56.625" style="138" customWidth="1"/>
    <col min="2" max="3" width="11.25390625" style="138" customWidth="1"/>
    <col min="4" max="4" width="12.00390625" style="138" customWidth="1"/>
    <col min="5" max="5" width="13.00390625" style="138" customWidth="1"/>
    <col min="6" max="7" width="11.25390625" style="138" customWidth="1"/>
    <col min="8" max="8" width="12.875" style="138" customWidth="1"/>
    <col min="9" max="12" width="11.25390625" style="138" customWidth="1"/>
    <col min="13" max="13" width="8.00390625" style="138" customWidth="1"/>
    <col min="14" max="16384" width="10.875" style="138" customWidth="1"/>
  </cols>
  <sheetData>
    <row r="1" spans="1:13" s="120" customFormat="1" ht="15" customHeight="1">
      <c r="A1" s="227" t="s">
        <v>134</v>
      </c>
      <c r="B1" s="209"/>
      <c r="C1" s="209"/>
      <c r="D1" s="209"/>
      <c r="E1" s="209"/>
      <c r="F1" s="209"/>
      <c r="G1" s="209"/>
      <c r="H1" s="227"/>
      <c r="I1" s="209"/>
      <c r="J1" s="209"/>
      <c r="K1" s="209"/>
      <c r="L1" s="209"/>
      <c r="M1" s="228"/>
    </row>
    <row r="2" spans="1:13" s="131" customFormat="1" ht="15">
      <c r="A2" s="229" t="s">
        <v>157</v>
      </c>
      <c r="B2" s="211"/>
      <c r="C2" s="211"/>
      <c r="D2" s="230"/>
      <c r="E2" s="211"/>
      <c r="F2" s="231"/>
      <c r="G2" s="230"/>
      <c r="H2" s="232"/>
      <c r="I2" s="211"/>
      <c r="J2" s="233"/>
      <c r="K2" s="234" t="s">
        <v>132</v>
      </c>
      <c r="L2" s="211"/>
      <c r="M2" s="236"/>
    </row>
    <row r="3" spans="1:13" s="135" customFormat="1" ht="12">
      <c r="A3" s="237"/>
      <c r="B3" s="268" t="s">
        <v>136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38" t="s">
        <v>103</v>
      </c>
    </row>
    <row r="4" spans="1:12" ht="48">
      <c r="A4" s="237"/>
      <c r="B4" s="265" t="s">
        <v>137</v>
      </c>
      <c r="C4" s="265" t="s">
        <v>138</v>
      </c>
      <c r="D4" s="265" t="s">
        <v>139</v>
      </c>
      <c r="E4" s="265" t="s">
        <v>140</v>
      </c>
      <c r="F4" s="265" t="s">
        <v>141</v>
      </c>
      <c r="G4" s="265" t="s">
        <v>142</v>
      </c>
      <c r="H4" s="265" t="s">
        <v>143</v>
      </c>
      <c r="I4" s="265" t="s">
        <v>144</v>
      </c>
      <c r="J4" s="265" t="s">
        <v>145</v>
      </c>
      <c r="K4" s="265" t="s">
        <v>6</v>
      </c>
      <c r="L4" s="265" t="s">
        <v>146</v>
      </c>
    </row>
    <row r="5" spans="1:13" ht="12">
      <c r="A5" s="237"/>
      <c r="B5" s="239"/>
      <c r="C5" s="212"/>
      <c r="D5" s="212"/>
      <c r="E5" s="212"/>
      <c r="F5" s="212"/>
      <c r="G5" s="212"/>
      <c r="H5" s="212"/>
      <c r="I5" s="239"/>
      <c r="J5" s="212"/>
      <c r="K5" s="212"/>
      <c r="L5" s="212"/>
      <c r="M5" s="239"/>
    </row>
    <row r="6" spans="1:13" ht="12">
      <c r="A6" s="225"/>
      <c r="B6" s="225"/>
      <c r="C6" s="212"/>
      <c r="D6" s="212"/>
      <c r="E6" s="212"/>
      <c r="F6" s="239"/>
      <c r="G6" s="225"/>
      <c r="H6" s="212"/>
      <c r="I6" s="225"/>
      <c r="J6" s="212"/>
      <c r="K6" s="212"/>
      <c r="L6" s="212"/>
      <c r="M6" s="239"/>
    </row>
    <row r="7" spans="1:13" s="131" customFormat="1" ht="12">
      <c r="A7" s="241"/>
      <c r="B7" s="242"/>
      <c r="C7" s="213"/>
      <c r="D7" s="242"/>
      <c r="E7" s="213"/>
      <c r="F7" s="242"/>
      <c r="G7" s="242"/>
      <c r="H7" s="241"/>
      <c r="I7" s="242"/>
      <c r="J7" s="213"/>
      <c r="K7" s="213"/>
      <c r="L7" s="213"/>
      <c r="M7" s="242"/>
    </row>
    <row r="8" spans="1:13" s="135" customFormat="1" ht="12">
      <c r="A8" s="267"/>
      <c r="B8" s="269" t="s">
        <v>54</v>
      </c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</row>
    <row r="9" spans="1:13" s="250" customFormat="1" ht="12">
      <c r="A9" s="244" t="s">
        <v>104</v>
      </c>
      <c r="B9" s="215"/>
      <c r="C9" s="215"/>
      <c r="D9" s="169"/>
      <c r="E9" s="169"/>
      <c r="F9" s="169"/>
      <c r="G9" s="169"/>
      <c r="H9" s="215"/>
      <c r="I9" s="169"/>
      <c r="J9" s="169"/>
      <c r="K9" s="215"/>
      <c r="L9" s="169"/>
      <c r="M9" s="172"/>
    </row>
    <row r="10" spans="1:13" ht="13.5" customHeight="1">
      <c r="A10" s="245" t="s">
        <v>105</v>
      </c>
      <c r="B10" s="215">
        <f aca="true" t="shared" si="0" ref="B10:L12">+B31+B52</f>
        <v>0</v>
      </c>
      <c r="C10" s="215">
        <f t="shared" si="0"/>
        <v>0</v>
      </c>
      <c r="D10" s="215">
        <f t="shared" si="0"/>
        <v>2</v>
      </c>
      <c r="E10" s="215">
        <f t="shared" si="0"/>
        <v>0</v>
      </c>
      <c r="F10" s="215">
        <f t="shared" si="0"/>
        <v>0</v>
      </c>
      <c r="G10" s="215">
        <f t="shared" si="0"/>
        <v>0</v>
      </c>
      <c r="H10" s="215">
        <f t="shared" si="0"/>
        <v>0</v>
      </c>
      <c r="I10" s="215">
        <f t="shared" si="0"/>
        <v>0</v>
      </c>
      <c r="J10" s="215">
        <f t="shared" si="0"/>
        <v>0</v>
      </c>
      <c r="K10" s="215">
        <f t="shared" si="0"/>
        <v>0</v>
      </c>
      <c r="L10" s="215">
        <f t="shared" si="0"/>
        <v>0</v>
      </c>
      <c r="M10" s="172">
        <f>SUM(B10:L10)</f>
        <v>2</v>
      </c>
    </row>
    <row r="11" spans="1:13" ht="12">
      <c r="A11" s="245" t="s">
        <v>115</v>
      </c>
      <c r="B11" s="215">
        <f t="shared" si="0"/>
        <v>16</v>
      </c>
      <c r="C11" s="215">
        <f t="shared" si="0"/>
        <v>34</v>
      </c>
      <c r="D11" s="215">
        <f t="shared" si="0"/>
        <v>16</v>
      </c>
      <c r="E11" s="215">
        <f t="shared" si="0"/>
        <v>171</v>
      </c>
      <c r="F11" s="215">
        <f t="shared" si="0"/>
        <v>89</v>
      </c>
      <c r="G11" s="215">
        <f t="shared" si="0"/>
        <v>156</v>
      </c>
      <c r="H11" s="215">
        <f t="shared" si="0"/>
        <v>31</v>
      </c>
      <c r="I11" s="215">
        <f t="shared" si="0"/>
        <v>41</v>
      </c>
      <c r="J11" s="215">
        <f t="shared" si="0"/>
        <v>36</v>
      </c>
      <c r="K11" s="215">
        <f t="shared" si="0"/>
        <v>31</v>
      </c>
      <c r="L11" s="215">
        <f t="shared" si="0"/>
        <v>55</v>
      </c>
      <c r="M11" s="172">
        <f>SUM(B11:L11)</f>
        <v>676</v>
      </c>
    </row>
    <row r="12" spans="1:13" ht="12">
      <c r="A12" s="245" t="s">
        <v>107</v>
      </c>
      <c r="B12" s="215">
        <f t="shared" si="0"/>
        <v>16</v>
      </c>
      <c r="C12" s="215">
        <f t="shared" si="0"/>
        <v>34</v>
      </c>
      <c r="D12" s="215">
        <f t="shared" si="0"/>
        <v>18</v>
      </c>
      <c r="E12" s="215">
        <f t="shared" si="0"/>
        <v>171</v>
      </c>
      <c r="F12" s="215">
        <f t="shared" si="0"/>
        <v>89</v>
      </c>
      <c r="G12" s="215">
        <f t="shared" si="0"/>
        <v>156</v>
      </c>
      <c r="H12" s="215">
        <f t="shared" si="0"/>
        <v>31</v>
      </c>
      <c r="I12" s="215">
        <f t="shared" si="0"/>
        <v>41</v>
      </c>
      <c r="J12" s="215">
        <f t="shared" si="0"/>
        <v>36</v>
      </c>
      <c r="K12" s="215">
        <f t="shared" si="0"/>
        <v>31</v>
      </c>
      <c r="L12" s="215">
        <f t="shared" si="0"/>
        <v>55</v>
      </c>
      <c r="M12" s="217">
        <f>+M10+M11</f>
        <v>678</v>
      </c>
    </row>
    <row r="13" spans="1:13" ht="12">
      <c r="A13" s="244" t="s">
        <v>151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72"/>
    </row>
    <row r="14" spans="1:13" ht="12">
      <c r="A14" s="245" t="s">
        <v>105</v>
      </c>
      <c r="B14" s="215">
        <f aca="true" t="shared" si="1" ref="B14:L16">+B35+B56</f>
        <v>1614</v>
      </c>
      <c r="C14" s="215">
        <f t="shared" si="1"/>
        <v>5778</v>
      </c>
      <c r="D14" s="215">
        <f t="shared" si="1"/>
        <v>1443</v>
      </c>
      <c r="E14" s="215">
        <f t="shared" si="1"/>
        <v>1086</v>
      </c>
      <c r="F14" s="215">
        <f t="shared" si="1"/>
        <v>6977</v>
      </c>
      <c r="G14" s="215">
        <f t="shared" si="1"/>
        <v>10037</v>
      </c>
      <c r="H14" s="215">
        <f t="shared" si="1"/>
        <v>1991</v>
      </c>
      <c r="I14" s="215">
        <f t="shared" si="1"/>
        <v>2466</v>
      </c>
      <c r="J14" s="215">
        <f t="shared" si="1"/>
        <v>2592</v>
      </c>
      <c r="K14" s="215">
        <f t="shared" si="1"/>
        <v>3612</v>
      </c>
      <c r="L14" s="215">
        <f t="shared" si="1"/>
        <v>3702</v>
      </c>
      <c r="M14" s="172">
        <f>SUM(B14:L14)</f>
        <v>41298</v>
      </c>
    </row>
    <row r="15" spans="1:13" ht="12">
      <c r="A15" s="245" t="s">
        <v>115</v>
      </c>
      <c r="B15" s="215">
        <f t="shared" si="1"/>
        <v>383</v>
      </c>
      <c r="C15" s="215">
        <f t="shared" si="1"/>
        <v>700</v>
      </c>
      <c r="D15" s="215">
        <f t="shared" si="1"/>
        <v>223</v>
      </c>
      <c r="E15" s="215">
        <f t="shared" si="1"/>
        <v>291</v>
      </c>
      <c r="F15" s="215">
        <f t="shared" si="1"/>
        <v>1921</v>
      </c>
      <c r="G15" s="215">
        <f t="shared" si="1"/>
        <v>2147</v>
      </c>
      <c r="H15" s="215">
        <f t="shared" si="1"/>
        <v>416</v>
      </c>
      <c r="I15" s="215">
        <f t="shared" si="1"/>
        <v>285</v>
      </c>
      <c r="J15" s="215">
        <f t="shared" si="1"/>
        <v>559</v>
      </c>
      <c r="K15" s="215">
        <f t="shared" si="1"/>
        <v>876</v>
      </c>
      <c r="L15" s="215">
        <f t="shared" si="1"/>
        <v>466</v>
      </c>
      <c r="M15" s="172">
        <f>SUM(B15:L15)</f>
        <v>8267</v>
      </c>
    </row>
    <row r="16" spans="1:13" ht="12">
      <c r="A16" s="245" t="s">
        <v>107</v>
      </c>
      <c r="B16" s="215">
        <f t="shared" si="1"/>
        <v>1997</v>
      </c>
      <c r="C16" s="215">
        <f t="shared" si="1"/>
        <v>6478</v>
      </c>
      <c r="D16" s="215">
        <f t="shared" si="1"/>
        <v>1666</v>
      </c>
      <c r="E16" s="215">
        <f t="shared" si="1"/>
        <v>1377</v>
      </c>
      <c r="F16" s="215">
        <f t="shared" si="1"/>
        <v>8898</v>
      </c>
      <c r="G16" s="215">
        <f t="shared" si="1"/>
        <v>12184</v>
      </c>
      <c r="H16" s="215">
        <f t="shared" si="1"/>
        <v>2407</v>
      </c>
      <c r="I16" s="215">
        <f t="shared" si="1"/>
        <v>2751</v>
      </c>
      <c r="J16" s="215">
        <f t="shared" si="1"/>
        <v>3151</v>
      </c>
      <c r="K16" s="215">
        <f t="shared" si="1"/>
        <v>4488</v>
      </c>
      <c r="L16" s="215">
        <f t="shared" si="1"/>
        <v>4168</v>
      </c>
      <c r="M16" s="217">
        <f>+M14+M15</f>
        <v>49565</v>
      </c>
    </row>
    <row r="17" spans="1:13" ht="12">
      <c r="A17" s="244" t="s">
        <v>152</v>
      </c>
      <c r="B17" s="169"/>
      <c r="C17" s="215"/>
      <c r="D17" s="215"/>
      <c r="E17" s="215"/>
      <c r="F17" s="169"/>
      <c r="G17" s="169"/>
      <c r="H17" s="169"/>
      <c r="I17" s="169"/>
      <c r="J17" s="172"/>
      <c r="K17" s="215"/>
      <c r="L17" s="172"/>
      <c r="M17" s="172"/>
    </row>
    <row r="18" spans="1:13" ht="12">
      <c r="A18" s="245" t="s">
        <v>105</v>
      </c>
      <c r="B18" s="215">
        <f aca="true" t="shared" si="2" ref="B18:L20">+B39+B60</f>
        <v>713</v>
      </c>
      <c r="C18" s="215">
        <f t="shared" si="2"/>
        <v>2927</v>
      </c>
      <c r="D18" s="215">
        <f t="shared" si="2"/>
        <v>1013</v>
      </c>
      <c r="E18" s="215">
        <f t="shared" si="2"/>
        <v>107</v>
      </c>
      <c r="F18" s="215">
        <f t="shared" si="2"/>
        <v>4153</v>
      </c>
      <c r="G18" s="215">
        <f t="shared" si="2"/>
        <v>4765</v>
      </c>
      <c r="H18" s="215">
        <f t="shared" si="2"/>
        <v>1212</v>
      </c>
      <c r="I18" s="215">
        <f t="shared" si="2"/>
        <v>215</v>
      </c>
      <c r="J18" s="215">
        <f t="shared" si="2"/>
        <v>1341</v>
      </c>
      <c r="K18" s="215">
        <f t="shared" si="2"/>
        <v>1945</v>
      </c>
      <c r="L18" s="215">
        <f t="shared" si="2"/>
        <v>1685</v>
      </c>
      <c r="M18" s="172">
        <f>SUM(B18:L18)</f>
        <v>20076</v>
      </c>
    </row>
    <row r="19" spans="1:13" ht="12">
      <c r="A19" s="245" t="s">
        <v>115</v>
      </c>
      <c r="B19" s="215">
        <f t="shared" si="2"/>
        <v>121</v>
      </c>
      <c r="C19" s="215">
        <f t="shared" si="2"/>
        <v>369</v>
      </c>
      <c r="D19" s="215">
        <f t="shared" si="2"/>
        <v>83</v>
      </c>
      <c r="E19" s="215">
        <f t="shared" si="2"/>
        <v>7</v>
      </c>
      <c r="F19" s="215">
        <f t="shared" si="2"/>
        <v>1033</v>
      </c>
      <c r="G19" s="215">
        <f t="shared" si="2"/>
        <v>1401</v>
      </c>
      <c r="H19" s="215">
        <f t="shared" si="2"/>
        <v>245</v>
      </c>
      <c r="I19" s="215">
        <f t="shared" si="2"/>
        <v>15</v>
      </c>
      <c r="J19" s="215">
        <f t="shared" si="2"/>
        <v>343</v>
      </c>
      <c r="K19" s="215">
        <f t="shared" si="2"/>
        <v>341</v>
      </c>
      <c r="L19" s="215">
        <f t="shared" si="2"/>
        <v>354</v>
      </c>
      <c r="M19" s="172">
        <f>SUM(B19:L19)</f>
        <v>4312</v>
      </c>
    </row>
    <row r="20" spans="1:13" ht="12">
      <c r="A20" s="245" t="s">
        <v>107</v>
      </c>
      <c r="B20" s="215">
        <f t="shared" si="2"/>
        <v>834</v>
      </c>
      <c r="C20" s="215">
        <f t="shared" si="2"/>
        <v>3296</v>
      </c>
      <c r="D20" s="215">
        <f t="shared" si="2"/>
        <v>1096</v>
      </c>
      <c r="E20" s="215">
        <f t="shared" si="2"/>
        <v>114</v>
      </c>
      <c r="F20" s="215">
        <f t="shared" si="2"/>
        <v>5186</v>
      </c>
      <c r="G20" s="215">
        <f t="shared" si="2"/>
        <v>6166</v>
      </c>
      <c r="H20" s="215">
        <f t="shared" si="2"/>
        <v>1457</v>
      </c>
      <c r="I20" s="215">
        <f t="shared" si="2"/>
        <v>230</v>
      </c>
      <c r="J20" s="215">
        <f t="shared" si="2"/>
        <v>1684</v>
      </c>
      <c r="K20" s="215">
        <f t="shared" si="2"/>
        <v>2286</v>
      </c>
      <c r="L20" s="215">
        <f t="shared" si="2"/>
        <v>2039</v>
      </c>
      <c r="M20" s="217">
        <f>+M18+M19</f>
        <v>24388</v>
      </c>
    </row>
    <row r="21" spans="1:13" ht="12">
      <c r="A21" s="244" t="s">
        <v>153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72"/>
    </row>
    <row r="22" spans="1:13" ht="12">
      <c r="A22" s="245" t="s">
        <v>105</v>
      </c>
      <c r="B22" s="215">
        <f aca="true" t="shared" si="3" ref="B22:M23">B43+B64</f>
        <v>435</v>
      </c>
      <c r="C22" s="215">
        <f t="shared" si="3"/>
        <v>0</v>
      </c>
      <c r="D22" s="215">
        <f t="shared" si="3"/>
        <v>1338</v>
      </c>
      <c r="E22" s="215">
        <f t="shared" si="3"/>
        <v>5265</v>
      </c>
      <c r="F22" s="215">
        <f t="shared" si="3"/>
        <v>636</v>
      </c>
      <c r="G22" s="215">
        <f t="shared" si="3"/>
        <v>45</v>
      </c>
      <c r="H22" s="215">
        <f t="shared" si="3"/>
        <v>0</v>
      </c>
      <c r="I22" s="215">
        <f t="shared" si="3"/>
        <v>3091</v>
      </c>
      <c r="J22" s="215">
        <f t="shared" si="3"/>
        <v>1299</v>
      </c>
      <c r="K22" s="215">
        <f t="shared" si="3"/>
        <v>0</v>
      </c>
      <c r="L22" s="215">
        <f t="shared" si="3"/>
        <v>0</v>
      </c>
      <c r="M22" s="215">
        <f>SUM(B22:L22)</f>
        <v>12109</v>
      </c>
    </row>
    <row r="23" spans="1:13" ht="12">
      <c r="A23" s="245" t="s">
        <v>115</v>
      </c>
      <c r="B23" s="215">
        <f t="shared" si="3"/>
        <v>110</v>
      </c>
      <c r="C23" s="215">
        <f t="shared" si="3"/>
        <v>0</v>
      </c>
      <c r="D23" s="215">
        <f t="shared" si="3"/>
        <v>339</v>
      </c>
      <c r="E23" s="215">
        <f t="shared" si="3"/>
        <v>1239</v>
      </c>
      <c r="F23" s="215">
        <f t="shared" si="3"/>
        <v>222</v>
      </c>
      <c r="G23" s="215">
        <f t="shared" si="3"/>
        <v>4</v>
      </c>
      <c r="H23" s="215">
        <f t="shared" si="3"/>
        <v>0</v>
      </c>
      <c r="I23" s="215">
        <f t="shared" si="3"/>
        <v>526</v>
      </c>
      <c r="J23" s="215">
        <f t="shared" si="3"/>
        <v>316</v>
      </c>
      <c r="K23" s="215">
        <f t="shared" si="3"/>
        <v>0</v>
      </c>
      <c r="L23" s="215">
        <f t="shared" si="3"/>
        <v>0</v>
      </c>
      <c r="M23" s="215">
        <f>SUM(B23:L23)</f>
        <v>2756</v>
      </c>
    </row>
    <row r="24" spans="1:13" ht="12">
      <c r="A24" s="245" t="s">
        <v>107</v>
      </c>
      <c r="B24" s="215">
        <f>B22+B23</f>
        <v>545</v>
      </c>
      <c r="C24" s="215">
        <f aca="true" t="shared" si="4" ref="C24:L24">C22+C23</f>
        <v>0</v>
      </c>
      <c r="D24" s="215">
        <f t="shared" si="4"/>
        <v>1677</v>
      </c>
      <c r="E24" s="215">
        <f t="shared" si="4"/>
        <v>6504</v>
      </c>
      <c r="F24" s="215">
        <f t="shared" si="4"/>
        <v>858</v>
      </c>
      <c r="G24" s="215">
        <f t="shared" si="4"/>
        <v>49</v>
      </c>
      <c r="H24" s="215">
        <f t="shared" si="4"/>
        <v>0</v>
      </c>
      <c r="I24" s="215">
        <f t="shared" si="4"/>
        <v>3617</v>
      </c>
      <c r="J24" s="215">
        <f t="shared" si="4"/>
        <v>1615</v>
      </c>
      <c r="K24" s="215">
        <f t="shared" si="4"/>
        <v>0</v>
      </c>
      <c r="L24" s="215">
        <f t="shared" si="4"/>
        <v>0</v>
      </c>
      <c r="M24" s="217">
        <f>+M22+M23</f>
        <v>14865</v>
      </c>
    </row>
    <row r="25" spans="1:13" s="135" customFormat="1" ht="12">
      <c r="A25" s="244" t="s">
        <v>112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51"/>
    </row>
    <row r="26" spans="1:13" s="120" customFormat="1" ht="12">
      <c r="A26" s="245" t="s">
        <v>105</v>
      </c>
      <c r="B26" s="223">
        <f>+B22+B18+B14+B10</f>
        <v>2762</v>
      </c>
      <c r="C26" s="223">
        <f aca="true" t="shared" si="5" ref="C26:M27">+C22+C18+C14+C10</f>
        <v>8705</v>
      </c>
      <c r="D26" s="223">
        <f t="shared" si="5"/>
        <v>3796</v>
      </c>
      <c r="E26" s="223">
        <f t="shared" si="5"/>
        <v>6458</v>
      </c>
      <c r="F26" s="223">
        <f t="shared" si="5"/>
        <v>11766</v>
      </c>
      <c r="G26" s="223">
        <f t="shared" si="5"/>
        <v>14847</v>
      </c>
      <c r="H26" s="223">
        <f t="shared" si="5"/>
        <v>3203</v>
      </c>
      <c r="I26" s="223">
        <f t="shared" si="5"/>
        <v>5772</v>
      </c>
      <c r="J26" s="223">
        <f t="shared" si="5"/>
        <v>5232</v>
      </c>
      <c r="K26" s="223">
        <f t="shared" si="5"/>
        <v>5557</v>
      </c>
      <c r="L26" s="223">
        <f t="shared" si="5"/>
        <v>5387</v>
      </c>
      <c r="M26" s="223">
        <f t="shared" si="5"/>
        <v>73485</v>
      </c>
    </row>
    <row r="27" spans="1:13" ht="12">
      <c r="A27" s="245" t="s">
        <v>115</v>
      </c>
      <c r="B27" s="223">
        <f>+B23+B19+B15+B11</f>
        <v>630</v>
      </c>
      <c r="C27" s="223">
        <f t="shared" si="5"/>
        <v>1103</v>
      </c>
      <c r="D27" s="223">
        <f t="shared" si="5"/>
        <v>661</v>
      </c>
      <c r="E27" s="223">
        <f t="shared" si="5"/>
        <v>1708</v>
      </c>
      <c r="F27" s="223">
        <f t="shared" si="5"/>
        <v>3265</v>
      </c>
      <c r="G27" s="223">
        <f t="shared" si="5"/>
        <v>3708</v>
      </c>
      <c r="H27" s="223">
        <f t="shared" si="5"/>
        <v>692</v>
      </c>
      <c r="I27" s="223">
        <f t="shared" si="5"/>
        <v>867</v>
      </c>
      <c r="J27" s="223">
        <f t="shared" si="5"/>
        <v>1254</v>
      </c>
      <c r="K27" s="223">
        <f t="shared" si="5"/>
        <v>1248</v>
      </c>
      <c r="L27" s="223">
        <f t="shared" si="5"/>
        <v>875</v>
      </c>
      <c r="M27" s="223">
        <f t="shared" si="5"/>
        <v>16011</v>
      </c>
    </row>
    <row r="28" spans="1:13" ht="12">
      <c r="A28" s="245" t="s">
        <v>107</v>
      </c>
      <c r="B28" s="217">
        <f aca="true" t="shared" si="6" ref="B28:L28">+B26+B27</f>
        <v>3392</v>
      </c>
      <c r="C28" s="217">
        <f t="shared" si="6"/>
        <v>9808</v>
      </c>
      <c r="D28" s="217">
        <f t="shared" si="6"/>
        <v>4457</v>
      </c>
      <c r="E28" s="217">
        <f t="shared" si="6"/>
        <v>8166</v>
      </c>
      <c r="F28" s="217">
        <f t="shared" si="6"/>
        <v>15031</v>
      </c>
      <c r="G28" s="217">
        <f t="shared" si="6"/>
        <v>18555</v>
      </c>
      <c r="H28" s="217">
        <f t="shared" si="6"/>
        <v>3895</v>
      </c>
      <c r="I28" s="217">
        <f t="shared" si="6"/>
        <v>6639</v>
      </c>
      <c r="J28" s="217">
        <f t="shared" si="6"/>
        <v>6486</v>
      </c>
      <c r="K28" s="217">
        <f t="shared" si="6"/>
        <v>6805</v>
      </c>
      <c r="L28" s="217">
        <f t="shared" si="6"/>
        <v>6262</v>
      </c>
      <c r="M28" s="217">
        <f>+M26+M27</f>
        <v>89496</v>
      </c>
    </row>
    <row r="29" spans="1:13" ht="12">
      <c r="A29" s="267"/>
      <c r="B29" s="270" t="s">
        <v>114</v>
      </c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</row>
    <row r="30" spans="1:13" s="250" customFormat="1" ht="12">
      <c r="A30" s="244" t="s">
        <v>104</v>
      </c>
      <c r="B30" s="215"/>
      <c r="C30" s="215"/>
      <c r="D30" s="169"/>
      <c r="E30" s="169"/>
      <c r="F30" s="169"/>
      <c r="G30" s="169"/>
      <c r="H30" s="215"/>
      <c r="I30" s="169"/>
      <c r="J30" s="169"/>
      <c r="K30" s="215"/>
      <c r="L30" s="169"/>
      <c r="M30" s="172"/>
    </row>
    <row r="31" spans="1:13" ht="13.5" customHeight="1">
      <c r="A31" s="245" t="s">
        <v>105</v>
      </c>
      <c r="B31" s="215">
        <v>0</v>
      </c>
      <c r="C31" s="215">
        <v>0</v>
      </c>
      <c r="D31" s="169">
        <v>1</v>
      </c>
      <c r="E31" s="169">
        <v>0</v>
      </c>
      <c r="F31" s="169">
        <v>0</v>
      </c>
      <c r="G31" s="169">
        <v>0</v>
      </c>
      <c r="H31" s="215">
        <v>0</v>
      </c>
      <c r="I31" s="215">
        <v>0</v>
      </c>
      <c r="J31" s="169">
        <v>0</v>
      </c>
      <c r="K31" s="169">
        <v>0</v>
      </c>
      <c r="L31" s="169">
        <v>0</v>
      </c>
      <c r="M31" s="172">
        <f aca="true" t="shared" si="7" ref="M31:M49">SUM(B31:L31)</f>
        <v>1</v>
      </c>
    </row>
    <row r="32" spans="1:13" ht="12">
      <c r="A32" s="245" t="s">
        <v>115</v>
      </c>
      <c r="B32" s="37">
        <v>10</v>
      </c>
      <c r="C32" s="37">
        <v>17</v>
      </c>
      <c r="D32" s="37">
        <v>2</v>
      </c>
      <c r="E32" s="37">
        <v>56</v>
      </c>
      <c r="F32" s="37">
        <v>78</v>
      </c>
      <c r="G32" s="37">
        <v>61</v>
      </c>
      <c r="H32" s="37">
        <v>0</v>
      </c>
      <c r="I32" s="37">
        <v>26</v>
      </c>
      <c r="J32" s="37">
        <v>3</v>
      </c>
      <c r="K32" s="37">
        <v>16</v>
      </c>
      <c r="L32" s="37">
        <v>20</v>
      </c>
      <c r="M32" s="172">
        <f t="shared" si="7"/>
        <v>289</v>
      </c>
    </row>
    <row r="33" spans="1:13" ht="12">
      <c r="A33" s="245" t="s">
        <v>107</v>
      </c>
      <c r="B33" s="217">
        <v>10</v>
      </c>
      <c r="C33" s="217">
        <v>17</v>
      </c>
      <c r="D33" s="217">
        <v>3</v>
      </c>
      <c r="E33" s="217">
        <v>56</v>
      </c>
      <c r="F33" s="217">
        <v>78</v>
      </c>
      <c r="G33" s="217">
        <v>61</v>
      </c>
      <c r="H33" s="217">
        <v>0</v>
      </c>
      <c r="I33" s="217">
        <v>26</v>
      </c>
      <c r="J33" s="217">
        <v>3</v>
      </c>
      <c r="K33" s="217">
        <v>16</v>
      </c>
      <c r="L33" s="217">
        <v>20</v>
      </c>
      <c r="M33" s="251">
        <f t="shared" si="7"/>
        <v>290</v>
      </c>
    </row>
    <row r="34" spans="1:13" ht="12">
      <c r="A34" s="244" t="s">
        <v>151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72">
        <f t="shared" si="7"/>
        <v>0</v>
      </c>
    </row>
    <row r="35" spans="1:13" ht="12">
      <c r="A35" s="245" t="s">
        <v>105</v>
      </c>
      <c r="B35" s="223">
        <v>955</v>
      </c>
      <c r="C35" s="223">
        <v>3147</v>
      </c>
      <c r="D35" s="37">
        <v>780</v>
      </c>
      <c r="E35" s="37">
        <v>374</v>
      </c>
      <c r="F35" s="223">
        <v>5095</v>
      </c>
      <c r="G35" s="223">
        <v>3683</v>
      </c>
      <c r="H35" s="37">
        <v>404</v>
      </c>
      <c r="I35" s="37">
        <v>559</v>
      </c>
      <c r="J35" s="37">
        <v>402</v>
      </c>
      <c r="K35" s="223">
        <v>2180</v>
      </c>
      <c r="L35" s="223">
        <v>1167</v>
      </c>
      <c r="M35" s="172">
        <f t="shared" si="7"/>
        <v>18746</v>
      </c>
    </row>
    <row r="36" spans="1:13" ht="12">
      <c r="A36" s="245" t="s">
        <v>115</v>
      </c>
      <c r="B36" s="37">
        <v>244</v>
      </c>
      <c r="C36" s="37">
        <v>404</v>
      </c>
      <c r="D36" s="37">
        <v>132</v>
      </c>
      <c r="E36" s="37">
        <v>110</v>
      </c>
      <c r="F36" s="37">
        <v>1501</v>
      </c>
      <c r="G36" s="37">
        <v>814</v>
      </c>
      <c r="H36" s="37">
        <v>107</v>
      </c>
      <c r="I36" s="37">
        <v>95</v>
      </c>
      <c r="J36" s="37">
        <v>98</v>
      </c>
      <c r="K36" s="37">
        <v>560</v>
      </c>
      <c r="L36" s="37">
        <v>227</v>
      </c>
      <c r="M36" s="172">
        <f t="shared" si="7"/>
        <v>4292</v>
      </c>
    </row>
    <row r="37" spans="1:13" ht="12">
      <c r="A37" s="245" t="s">
        <v>107</v>
      </c>
      <c r="B37" s="217">
        <v>1199</v>
      </c>
      <c r="C37" s="217">
        <v>3551</v>
      </c>
      <c r="D37" s="217">
        <v>912</v>
      </c>
      <c r="E37" s="217">
        <v>484</v>
      </c>
      <c r="F37" s="217">
        <v>6596</v>
      </c>
      <c r="G37" s="217">
        <v>4497</v>
      </c>
      <c r="H37" s="217">
        <v>511</v>
      </c>
      <c r="I37" s="217">
        <v>654</v>
      </c>
      <c r="J37" s="217">
        <v>500</v>
      </c>
      <c r="K37" s="217">
        <v>2740</v>
      </c>
      <c r="L37" s="217">
        <v>1394</v>
      </c>
      <c r="M37" s="251">
        <f t="shared" si="7"/>
        <v>23038</v>
      </c>
    </row>
    <row r="38" spans="1:13" ht="12">
      <c r="A38" s="244" t="s">
        <v>152</v>
      </c>
      <c r="B38" s="169"/>
      <c r="C38" s="215"/>
      <c r="D38" s="215"/>
      <c r="E38" s="215"/>
      <c r="F38" s="169"/>
      <c r="G38" s="169"/>
      <c r="H38" s="169"/>
      <c r="I38" s="169"/>
      <c r="J38" s="172"/>
      <c r="K38" s="215"/>
      <c r="L38" s="172"/>
      <c r="M38" s="172">
        <f t="shared" si="7"/>
        <v>0</v>
      </c>
    </row>
    <row r="39" spans="1:13" ht="12">
      <c r="A39" s="245" t="s">
        <v>105</v>
      </c>
      <c r="B39" s="37">
        <v>369</v>
      </c>
      <c r="C39" s="37">
        <v>1490</v>
      </c>
      <c r="D39" s="37">
        <v>518</v>
      </c>
      <c r="E39" s="37">
        <v>31</v>
      </c>
      <c r="F39" s="223">
        <v>3038</v>
      </c>
      <c r="G39" s="37">
        <v>1591</v>
      </c>
      <c r="H39" s="37">
        <v>172</v>
      </c>
      <c r="I39" s="37">
        <v>56</v>
      </c>
      <c r="J39" s="37">
        <v>191</v>
      </c>
      <c r="K39" s="37">
        <v>1065</v>
      </c>
      <c r="L39" s="37">
        <v>490</v>
      </c>
      <c r="M39" s="172">
        <f t="shared" si="7"/>
        <v>9011</v>
      </c>
    </row>
    <row r="40" spans="1:13" ht="12">
      <c r="A40" s="245" t="s">
        <v>115</v>
      </c>
      <c r="B40" s="37">
        <v>69</v>
      </c>
      <c r="C40" s="37">
        <v>211</v>
      </c>
      <c r="D40" s="37">
        <v>52</v>
      </c>
      <c r="E40" s="37">
        <v>5</v>
      </c>
      <c r="F40" s="37">
        <v>748</v>
      </c>
      <c r="G40" s="37">
        <v>594</v>
      </c>
      <c r="H40" s="37">
        <v>50</v>
      </c>
      <c r="I40" s="37">
        <v>5</v>
      </c>
      <c r="J40" s="37">
        <v>56</v>
      </c>
      <c r="K40" s="37">
        <v>212</v>
      </c>
      <c r="L40" s="37">
        <v>125</v>
      </c>
      <c r="M40" s="172">
        <f t="shared" si="7"/>
        <v>2127</v>
      </c>
    </row>
    <row r="41" spans="1:13" ht="12">
      <c r="A41" s="245" t="s">
        <v>107</v>
      </c>
      <c r="B41" s="217">
        <v>438</v>
      </c>
      <c r="C41" s="217">
        <v>1701</v>
      </c>
      <c r="D41" s="217">
        <v>570</v>
      </c>
      <c r="E41" s="217">
        <v>36</v>
      </c>
      <c r="F41" s="217">
        <v>3786</v>
      </c>
      <c r="G41" s="217">
        <v>2185</v>
      </c>
      <c r="H41" s="217">
        <v>222</v>
      </c>
      <c r="I41" s="217">
        <v>61</v>
      </c>
      <c r="J41" s="217">
        <v>247</v>
      </c>
      <c r="K41" s="217">
        <v>1277</v>
      </c>
      <c r="L41" s="217">
        <v>615</v>
      </c>
      <c r="M41" s="251">
        <f t="shared" si="7"/>
        <v>11138</v>
      </c>
    </row>
    <row r="42" spans="1:13" ht="12">
      <c r="A42" s="244" t="s">
        <v>153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72">
        <f t="shared" si="7"/>
        <v>0</v>
      </c>
    </row>
    <row r="43" spans="1:13" ht="12">
      <c r="A43" s="245" t="s">
        <v>105</v>
      </c>
      <c r="B43" s="37">
        <v>97</v>
      </c>
      <c r="C43" s="37">
        <v>0</v>
      </c>
      <c r="D43" s="37">
        <v>327</v>
      </c>
      <c r="E43" s="37">
        <v>1613</v>
      </c>
      <c r="F43" s="37">
        <v>261</v>
      </c>
      <c r="G43" s="37">
        <v>4</v>
      </c>
      <c r="H43" s="37">
        <v>0</v>
      </c>
      <c r="I43" s="37">
        <v>1347</v>
      </c>
      <c r="J43" s="37">
        <v>122</v>
      </c>
      <c r="K43" s="37">
        <v>0</v>
      </c>
      <c r="L43" s="37">
        <v>0</v>
      </c>
      <c r="M43" s="172">
        <f t="shared" si="7"/>
        <v>3771</v>
      </c>
    </row>
    <row r="44" spans="1:13" ht="12">
      <c r="A44" s="245" t="s">
        <v>115</v>
      </c>
      <c r="B44" s="37">
        <v>17</v>
      </c>
      <c r="C44" s="37">
        <v>0</v>
      </c>
      <c r="D44" s="37">
        <v>90</v>
      </c>
      <c r="E44" s="37">
        <v>424</v>
      </c>
      <c r="F44" s="37">
        <v>105</v>
      </c>
      <c r="G44" s="37">
        <v>0</v>
      </c>
      <c r="H44" s="37">
        <v>0</v>
      </c>
      <c r="I44" s="37">
        <v>234</v>
      </c>
      <c r="J44" s="37">
        <v>33</v>
      </c>
      <c r="K44" s="37">
        <v>0</v>
      </c>
      <c r="L44" s="37">
        <v>0</v>
      </c>
      <c r="M44" s="172">
        <f t="shared" si="7"/>
        <v>903</v>
      </c>
    </row>
    <row r="45" spans="1:13" ht="12">
      <c r="A45" s="245" t="s">
        <v>107</v>
      </c>
      <c r="B45" s="217">
        <v>114</v>
      </c>
      <c r="C45" s="217">
        <v>0</v>
      </c>
      <c r="D45" s="217">
        <v>417</v>
      </c>
      <c r="E45" s="217">
        <v>2037</v>
      </c>
      <c r="F45" s="217">
        <v>366</v>
      </c>
      <c r="G45" s="217">
        <v>4</v>
      </c>
      <c r="H45" s="217">
        <v>0</v>
      </c>
      <c r="I45" s="217">
        <v>1581</v>
      </c>
      <c r="J45" s="217">
        <v>155</v>
      </c>
      <c r="K45" s="217">
        <v>0</v>
      </c>
      <c r="L45" s="217">
        <v>0</v>
      </c>
      <c r="M45" s="251">
        <f t="shared" si="7"/>
        <v>4674</v>
      </c>
    </row>
    <row r="46" spans="1:13" s="135" customFormat="1" ht="12">
      <c r="A46" s="244" t="s">
        <v>112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172">
        <f t="shared" si="7"/>
        <v>0</v>
      </c>
    </row>
    <row r="47" spans="1:13" s="135" customFormat="1" ht="12">
      <c r="A47" s="245" t="s">
        <v>105</v>
      </c>
      <c r="B47" s="223">
        <f>B31+B35+B39+B43</f>
        <v>1421</v>
      </c>
      <c r="C47" s="223">
        <f aca="true" t="shared" si="8" ref="C47:L48">C31+C35+C39+C43</f>
        <v>4637</v>
      </c>
      <c r="D47" s="223">
        <f t="shared" si="8"/>
        <v>1626</v>
      </c>
      <c r="E47" s="223">
        <f t="shared" si="8"/>
        <v>2018</v>
      </c>
      <c r="F47" s="223">
        <f t="shared" si="8"/>
        <v>8394</v>
      </c>
      <c r="G47" s="223">
        <f t="shared" si="8"/>
        <v>5278</v>
      </c>
      <c r="H47" s="223">
        <f t="shared" si="8"/>
        <v>576</v>
      </c>
      <c r="I47" s="223">
        <f t="shared" si="8"/>
        <v>1962</v>
      </c>
      <c r="J47" s="223">
        <f t="shared" si="8"/>
        <v>715</v>
      </c>
      <c r="K47" s="223">
        <f t="shared" si="8"/>
        <v>3245</v>
      </c>
      <c r="L47" s="223">
        <f t="shared" si="8"/>
        <v>1657</v>
      </c>
      <c r="M47" s="172">
        <f t="shared" si="7"/>
        <v>31529</v>
      </c>
    </row>
    <row r="48" spans="1:13" s="135" customFormat="1" ht="12">
      <c r="A48" s="245" t="s">
        <v>115</v>
      </c>
      <c r="B48" s="223">
        <f>B32+B36+B40+B44</f>
        <v>340</v>
      </c>
      <c r="C48" s="223">
        <f t="shared" si="8"/>
        <v>632</v>
      </c>
      <c r="D48" s="223">
        <f t="shared" si="8"/>
        <v>276</v>
      </c>
      <c r="E48" s="223">
        <f t="shared" si="8"/>
        <v>595</v>
      </c>
      <c r="F48" s="223">
        <f t="shared" si="8"/>
        <v>2432</v>
      </c>
      <c r="G48" s="223">
        <f t="shared" si="8"/>
        <v>1469</v>
      </c>
      <c r="H48" s="223">
        <f t="shared" si="8"/>
        <v>157</v>
      </c>
      <c r="I48" s="223">
        <f t="shared" si="8"/>
        <v>360</v>
      </c>
      <c r="J48" s="223">
        <f t="shared" si="8"/>
        <v>190</v>
      </c>
      <c r="K48" s="223">
        <f t="shared" si="8"/>
        <v>788</v>
      </c>
      <c r="L48" s="223">
        <f t="shared" si="8"/>
        <v>372</v>
      </c>
      <c r="M48" s="172">
        <f t="shared" si="7"/>
        <v>7611</v>
      </c>
    </row>
    <row r="49" spans="1:13" s="135" customFormat="1" ht="12">
      <c r="A49" s="245" t="s">
        <v>107</v>
      </c>
      <c r="B49" s="217">
        <f aca="true" t="shared" si="9" ref="B49:L49">+B47+B48</f>
        <v>1761</v>
      </c>
      <c r="C49" s="217">
        <f>+C47+C48</f>
        <v>5269</v>
      </c>
      <c r="D49" s="217">
        <f t="shared" si="9"/>
        <v>1902</v>
      </c>
      <c r="E49" s="217">
        <f t="shared" si="9"/>
        <v>2613</v>
      </c>
      <c r="F49" s="217">
        <f t="shared" si="9"/>
        <v>10826</v>
      </c>
      <c r="G49" s="217">
        <f t="shared" si="9"/>
        <v>6747</v>
      </c>
      <c r="H49" s="217">
        <f t="shared" si="9"/>
        <v>733</v>
      </c>
      <c r="I49" s="217">
        <f t="shared" si="9"/>
        <v>2322</v>
      </c>
      <c r="J49" s="217">
        <f t="shared" si="9"/>
        <v>905</v>
      </c>
      <c r="K49" s="217">
        <f t="shared" si="9"/>
        <v>4033</v>
      </c>
      <c r="L49" s="217">
        <f t="shared" si="9"/>
        <v>2029</v>
      </c>
      <c r="M49" s="251">
        <f t="shared" si="7"/>
        <v>39140</v>
      </c>
    </row>
    <row r="50" spans="1:13" s="135" customFormat="1" ht="12">
      <c r="A50" s="267"/>
      <c r="B50" s="270" t="s">
        <v>65</v>
      </c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</row>
    <row r="51" spans="1:13" s="250" customFormat="1" ht="12">
      <c r="A51" s="244" t="s">
        <v>104</v>
      </c>
      <c r="B51" s="215"/>
      <c r="C51" s="215"/>
      <c r="D51" s="169"/>
      <c r="E51" s="169"/>
      <c r="F51" s="169"/>
      <c r="G51" s="169"/>
      <c r="H51" s="215"/>
      <c r="I51" s="169"/>
      <c r="J51" s="169"/>
      <c r="K51" s="215"/>
      <c r="L51" s="169"/>
      <c r="M51" s="172"/>
    </row>
    <row r="52" spans="1:13" ht="13.5" customHeight="1">
      <c r="A52" s="245" t="s">
        <v>105</v>
      </c>
      <c r="B52" s="37">
        <v>0</v>
      </c>
      <c r="C52" s="37">
        <v>0</v>
      </c>
      <c r="D52" s="37">
        <v>1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172"/>
    </row>
    <row r="53" spans="1:13" ht="12">
      <c r="A53" s="245" t="s">
        <v>115</v>
      </c>
      <c r="B53" s="37">
        <v>6</v>
      </c>
      <c r="C53" s="37">
        <v>17</v>
      </c>
      <c r="D53" s="37">
        <v>14</v>
      </c>
      <c r="E53" s="37">
        <v>115</v>
      </c>
      <c r="F53" s="37">
        <v>11</v>
      </c>
      <c r="G53" s="37">
        <v>95</v>
      </c>
      <c r="H53" s="37">
        <v>31</v>
      </c>
      <c r="I53" s="37">
        <v>15</v>
      </c>
      <c r="J53" s="37">
        <v>33</v>
      </c>
      <c r="K53" s="37">
        <v>15</v>
      </c>
      <c r="L53" s="37">
        <v>35</v>
      </c>
      <c r="M53" s="172"/>
    </row>
    <row r="54" spans="1:13" ht="12">
      <c r="A54" s="245" t="s">
        <v>107</v>
      </c>
      <c r="B54" s="217">
        <v>6</v>
      </c>
      <c r="C54" s="217">
        <v>17</v>
      </c>
      <c r="D54" s="217">
        <v>15</v>
      </c>
      <c r="E54" s="217">
        <v>115</v>
      </c>
      <c r="F54" s="217">
        <v>11</v>
      </c>
      <c r="G54" s="217">
        <v>95</v>
      </c>
      <c r="H54" s="217">
        <v>31</v>
      </c>
      <c r="I54" s="217">
        <v>15</v>
      </c>
      <c r="J54" s="217">
        <v>33</v>
      </c>
      <c r="K54" s="217">
        <v>15</v>
      </c>
      <c r="L54" s="217">
        <v>35</v>
      </c>
      <c r="M54" s="172">
        <f aca="true" t="shared" si="10" ref="M54:M69">SUM(B54:L54)</f>
        <v>388</v>
      </c>
    </row>
    <row r="55" spans="1:13" ht="12">
      <c r="A55" s="244" t="s">
        <v>151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72">
        <f t="shared" si="10"/>
        <v>0</v>
      </c>
    </row>
    <row r="56" spans="1:13" ht="12">
      <c r="A56" s="245" t="s">
        <v>105</v>
      </c>
      <c r="B56" s="37">
        <v>659</v>
      </c>
      <c r="C56" s="37">
        <v>2631</v>
      </c>
      <c r="D56" s="37">
        <v>663</v>
      </c>
      <c r="E56" s="37">
        <v>712</v>
      </c>
      <c r="F56" s="37">
        <v>1882</v>
      </c>
      <c r="G56" s="37">
        <v>6354</v>
      </c>
      <c r="H56" s="37">
        <v>1587</v>
      </c>
      <c r="I56" s="37">
        <v>1907</v>
      </c>
      <c r="J56" s="37">
        <v>2190</v>
      </c>
      <c r="K56" s="37">
        <v>1432</v>
      </c>
      <c r="L56" s="37">
        <v>2535</v>
      </c>
      <c r="M56" s="172"/>
    </row>
    <row r="57" spans="1:13" ht="12">
      <c r="A57" s="245" t="s">
        <v>115</v>
      </c>
      <c r="B57" s="37">
        <v>139</v>
      </c>
      <c r="C57" s="37">
        <v>296</v>
      </c>
      <c r="D57" s="37">
        <v>91</v>
      </c>
      <c r="E57" s="37">
        <v>181</v>
      </c>
      <c r="F57" s="37">
        <v>420</v>
      </c>
      <c r="G57" s="37">
        <v>1333</v>
      </c>
      <c r="H57" s="37">
        <v>309</v>
      </c>
      <c r="I57" s="37">
        <v>190</v>
      </c>
      <c r="J57" s="37">
        <v>461</v>
      </c>
      <c r="K57" s="37">
        <v>316</v>
      </c>
      <c r="L57" s="37">
        <v>239</v>
      </c>
      <c r="M57" s="172"/>
    </row>
    <row r="58" spans="1:13" ht="12">
      <c r="A58" s="245" t="s">
        <v>107</v>
      </c>
      <c r="B58" s="217">
        <v>798</v>
      </c>
      <c r="C58" s="217">
        <v>2927</v>
      </c>
      <c r="D58" s="217">
        <v>754</v>
      </c>
      <c r="E58" s="217">
        <v>893</v>
      </c>
      <c r="F58" s="217">
        <v>2302</v>
      </c>
      <c r="G58" s="217">
        <v>7687</v>
      </c>
      <c r="H58" s="217">
        <v>1896</v>
      </c>
      <c r="I58" s="217">
        <v>2097</v>
      </c>
      <c r="J58" s="217">
        <v>2651</v>
      </c>
      <c r="K58" s="217">
        <v>1748</v>
      </c>
      <c r="L58" s="217">
        <v>2774</v>
      </c>
      <c r="M58" s="172">
        <f t="shared" si="10"/>
        <v>26527</v>
      </c>
    </row>
    <row r="59" spans="1:13" ht="12">
      <c r="A59" s="244" t="s">
        <v>152</v>
      </c>
      <c r="B59" s="169"/>
      <c r="C59" s="215"/>
      <c r="D59" s="215"/>
      <c r="E59" s="215"/>
      <c r="F59" s="169"/>
      <c r="G59" s="169"/>
      <c r="H59" s="169"/>
      <c r="I59" s="169"/>
      <c r="J59" s="172"/>
      <c r="K59" s="215"/>
      <c r="L59" s="172"/>
      <c r="M59" s="172">
        <f t="shared" si="10"/>
        <v>0</v>
      </c>
    </row>
    <row r="60" spans="1:13" ht="12">
      <c r="A60" s="245" t="s">
        <v>105</v>
      </c>
      <c r="B60" s="37">
        <v>344</v>
      </c>
      <c r="C60" s="37">
        <v>1437</v>
      </c>
      <c r="D60" s="37">
        <v>495</v>
      </c>
      <c r="E60" s="37">
        <v>76</v>
      </c>
      <c r="F60" s="37">
        <v>1115</v>
      </c>
      <c r="G60" s="37">
        <v>3174</v>
      </c>
      <c r="H60" s="37">
        <v>1040</v>
      </c>
      <c r="I60" s="37">
        <v>159</v>
      </c>
      <c r="J60" s="37">
        <v>1150</v>
      </c>
      <c r="K60" s="37">
        <v>880</v>
      </c>
      <c r="L60" s="37">
        <v>1195</v>
      </c>
      <c r="M60" s="172"/>
    </row>
    <row r="61" spans="1:13" ht="12">
      <c r="A61" s="245" t="s">
        <v>115</v>
      </c>
      <c r="B61" s="37">
        <v>52</v>
      </c>
      <c r="C61" s="37">
        <v>158</v>
      </c>
      <c r="D61" s="37">
        <v>31</v>
      </c>
      <c r="E61" s="37">
        <v>2</v>
      </c>
      <c r="F61" s="37">
        <v>285</v>
      </c>
      <c r="G61" s="37">
        <v>807</v>
      </c>
      <c r="H61" s="37">
        <v>195</v>
      </c>
      <c r="I61" s="37">
        <v>10</v>
      </c>
      <c r="J61" s="37">
        <v>287</v>
      </c>
      <c r="K61" s="37">
        <v>129</v>
      </c>
      <c r="L61" s="37">
        <v>229</v>
      </c>
      <c r="M61" s="172"/>
    </row>
    <row r="62" spans="1:13" ht="12">
      <c r="A62" s="245" t="s">
        <v>107</v>
      </c>
      <c r="B62" s="217">
        <v>396</v>
      </c>
      <c r="C62" s="217">
        <v>1595</v>
      </c>
      <c r="D62" s="217">
        <v>526</v>
      </c>
      <c r="E62" s="217">
        <v>78</v>
      </c>
      <c r="F62" s="217">
        <v>1400</v>
      </c>
      <c r="G62" s="217">
        <v>3981</v>
      </c>
      <c r="H62" s="217">
        <v>1235</v>
      </c>
      <c r="I62" s="217">
        <v>169</v>
      </c>
      <c r="J62" s="217">
        <v>1437</v>
      </c>
      <c r="K62" s="217">
        <v>1009</v>
      </c>
      <c r="L62" s="217">
        <v>1424</v>
      </c>
      <c r="M62" s="172">
        <f t="shared" si="10"/>
        <v>13250</v>
      </c>
    </row>
    <row r="63" spans="1:13" ht="12">
      <c r="A63" s="244" t="s">
        <v>153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72">
        <f t="shared" si="10"/>
        <v>0</v>
      </c>
    </row>
    <row r="64" spans="1:13" ht="12">
      <c r="A64" s="245" t="s">
        <v>105</v>
      </c>
      <c r="B64" s="37">
        <v>338</v>
      </c>
      <c r="C64" s="37">
        <v>0</v>
      </c>
      <c r="D64" s="37">
        <v>1011</v>
      </c>
      <c r="E64" s="37">
        <v>3652</v>
      </c>
      <c r="F64" s="37">
        <v>375</v>
      </c>
      <c r="G64" s="37">
        <v>41</v>
      </c>
      <c r="H64" s="37">
        <v>0</v>
      </c>
      <c r="I64" s="37">
        <v>1744</v>
      </c>
      <c r="J64" s="37">
        <v>1177</v>
      </c>
      <c r="K64" s="37">
        <v>0</v>
      </c>
      <c r="L64" s="37">
        <v>0</v>
      </c>
      <c r="M64" s="172"/>
    </row>
    <row r="65" spans="1:13" ht="12">
      <c r="A65" s="245" t="s">
        <v>115</v>
      </c>
      <c r="B65" s="37">
        <v>93</v>
      </c>
      <c r="C65" s="37">
        <v>0</v>
      </c>
      <c r="D65" s="37">
        <v>249</v>
      </c>
      <c r="E65" s="37">
        <v>815</v>
      </c>
      <c r="F65" s="37">
        <v>117</v>
      </c>
      <c r="G65" s="37">
        <v>4</v>
      </c>
      <c r="H65" s="37">
        <v>0</v>
      </c>
      <c r="I65" s="37">
        <v>292</v>
      </c>
      <c r="J65" s="37">
        <v>283</v>
      </c>
      <c r="K65" s="37">
        <v>0</v>
      </c>
      <c r="L65" s="37">
        <v>0</v>
      </c>
      <c r="M65" s="172"/>
    </row>
    <row r="66" spans="1:13" ht="12">
      <c r="A66" s="245" t="s">
        <v>107</v>
      </c>
      <c r="B66" s="217">
        <v>431</v>
      </c>
      <c r="C66" s="217">
        <v>0</v>
      </c>
      <c r="D66" s="217">
        <v>1260</v>
      </c>
      <c r="E66" s="217">
        <v>4467</v>
      </c>
      <c r="F66" s="217">
        <v>492</v>
      </c>
      <c r="G66" s="217">
        <v>45</v>
      </c>
      <c r="H66" s="217">
        <v>0</v>
      </c>
      <c r="I66" s="217">
        <v>2036</v>
      </c>
      <c r="J66" s="217">
        <v>1460</v>
      </c>
      <c r="K66" s="217">
        <v>0</v>
      </c>
      <c r="L66" s="217">
        <v>0</v>
      </c>
      <c r="M66" s="172">
        <f t="shared" si="10"/>
        <v>10191</v>
      </c>
    </row>
    <row r="67" spans="1:13" ht="12">
      <c r="A67" s="244" t="s">
        <v>112</v>
      </c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172">
        <f t="shared" si="10"/>
        <v>0</v>
      </c>
    </row>
    <row r="68" spans="1:13" ht="12">
      <c r="A68" s="245" t="s">
        <v>105</v>
      </c>
      <c r="B68" s="223">
        <f>B64+B60+B56+B52</f>
        <v>1341</v>
      </c>
      <c r="C68" s="223">
        <f aca="true" t="shared" si="11" ref="C68:L69">C64+C60+C56+C52</f>
        <v>4068</v>
      </c>
      <c r="D68" s="223">
        <f t="shared" si="11"/>
        <v>2170</v>
      </c>
      <c r="E68" s="223">
        <f t="shared" si="11"/>
        <v>4440</v>
      </c>
      <c r="F68" s="223">
        <f t="shared" si="11"/>
        <v>3372</v>
      </c>
      <c r="G68" s="223">
        <f t="shared" si="11"/>
        <v>9569</v>
      </c>
      <c r="H68" s="223">
        <f t="shared" si="11"/>
        <v>2627</v>
      </c>
      <c r="I68" s="223">
        <f t="shared" si="11"/>
        <v>3810</v>
      </c>
      <c r="J68" s="223">
        <f t="shared" si="11"/>
        <v>4517</v>
      </c>
      <c r="K68" s="223">
        <f t="shared" si="11"/>
        <v>2312</v>
      </c>
      <c r="L68" s="223">
        <f t="shared" si="11"/>
        <v>3730</v>
      </c>
      <c r="M68" s="172">
        <f t="shared" si="10"/>
        <v>41956</v>
      </c>
    </row>
    <row r="69" spans="1:13" ht="12">
      <c r="A69" s="245" t="s">
        <v>115</v>
      </c>
      <c r="B69" s="223">
        <f>B65+B61+B57+B53</f>
        <v>290</v>
      </c>
      <c r="C69" s="223">
        <f t="shared" si="11"/>
        <v>471</v>
      </c>
      <c r="D69" s="223">
        <f t="shared" si="11"/>
        <v>385</v>
      </c>
      <c r="E69" s="223">
        <f t="shared" si="11"/>
        <v>1113</v>
      </c>
      <c r="F69" s="223">
        <f t="shared" si="11"/>
        <v>833</v>
      </c>
      <c r="G69" s="223">
        <f t="shared" si="11"/>
        <v>2239</v>
      </c>
      <c r="H69" s="223">
        <f t="shared" si="11"/>
        <v>535</v>
      </c>
      <c r="I69" s="223">
        <f t="shared" si="11"/>
        <v>507</v>
      </c>
      <c r="J69" s="223">
        <f t="shared" si="11"/>
        <v>1064</v>
      </c>
      <c r="K69" s="223">
        <f t="shared" si="11"/>
        <v>460</v>
      </c>
      <c r="L69" s="223">
        <f t="shared" si="11"/>
        <v>503</v>
      </c>
      <c r="M69" s="172">
        <f t="shared" si="10"/>
        <v>8400</v>
      </c>
    </row>
    <row r="70" spans="1:13" ht="12">
      <c r="A70" s="266" t="s">
        <v>107</v>
      </c>
      <c r="B70" s="221">
        <f aca="true" t="shared" si="12" ref="B70:M70">+B68+B69</f>
        <v>1631</v>
      </c>
      <c r="C70" s="221">
        <f t="shared" si="12"/>
        <v>4539</v>
      </c>
      <c r="D70" s="221">
        <f t="shared" si="12"/>
        <v>2555</v>
      </c>
      <c r="E70" s="221">
        <f t="shared" si="12"/>
        <v>5553</v>
      </c>
      <c r="F70" s="221">
        <f t="shared" si="12"/>
        <v>4205</v>
      </c>
      <c r="G70" s="221">
        <f t="shared" si="12"/>
        <v>11808</v>
      </c>
      <c r="H70" s="221">
        <f t="shared" si="12"/>
        <v>3162</v>
      </c>
      <c r="I70" s="221">
        <f t="shared" si="12"/>
        <v>4317</v>
      </c>
      <c r="J70" s="221">
        <f t="shared" si="12"/>
        <v>5581</v>
      </c>
      <c r="K70" s="221">
        <f t="shared" si="12"/>
        <v>2772</v>
      </c>
      <c r="L70" s="221">
        <f t="shared" si="12"/>
        <v>4233</v>
      </c>
      <c r="M70" s="221">
        <f t="shared" si="12"/>
        <v>50356</v>
      </c>
    </row>
    <row r="71" spans="1:13" ht="12">
      <c r="A71" s="73" t="s">
        <v>147</v>
      </c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</row>
    <row r="72" spans="1:13" ht="12">
      <c r="A72" s="256" t="s">
        <v>133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4"/>
    </row>
    <row r="73" spans="1:13" ht="12">
      <c r="A73" s="257" t="s">
        <v>66</v>
      </c>
      <c r="B73" s="258"/>
      <c r="C73" s="223"/>
      <c r="D73" s="258"/>
      <c r="E73" s="223"/>
      <c r="F73" s="258"/>
      <c r="G73" s="258"/>
      <c r="H73" s="258"/>
      <c r="I73" s="258"/>
      <c r="J73" s="258"/>
      <c r="K73" s="223"/>
      <c r="L73" s="258"/>
      <c r="M73" s="224"/>
    </row>
    <row r="74" spans="1:13" ht="12">
      <c r="A74" s="259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</row>
    <row r="75" spans="1:13" ht="12">
      <c r="A75" s="260"/>
      <c r="B75" s="200"/>
      <c r="C75" s="225"/>
      <c r="D75" s="225"/>
      <c r="E75" s="225"/>
      <c r="F75" s="200"/>
      <c r="G75" s="200"/>
      <c r="H75" s="200"/>
      <c r="I75" s="200"/>
      <c r="J75" s="200"/>
      <c r="K75" s="225"/>
      <c r="L75" s="200"/>
      <c r="M75" s="224"/>
    </row>
    <row r="76" spans="1:13" ht="12">
      <c r="A76" s="260"/>
      <c r="B76" s="200"/>
      <c r="C76" s="225"/>
      <c r="D76" s="225"/>
      <c r="E76" s="225"/>
      <c r="F76" s="200"/>
      <c r="G76" s="200"/>
      <c r="H76" s="200"/>
      <c r="I76" s="200"/>
      <c r="J76" s="200"/>
      <c r="K76" s="225"/>
      <c r="L76" s="200"/>
      <c r="M76" s="224"/>
    </row>
    <row r="77" spans="1:13" ht="12">
      <c r="A77" s="260"/>
      <c r="B77" s="200"/>
      <c r="C77" s="225"/>
      <c r="D77" s="225"/>
      <c r="E77" s="225"/>
      <c r="F77" s="200"/>
      <c r="G77" s="200"/>
      <c r="H77" s="200"/>
      <c r="I77" s="200"/>
      <c r="J77" s="200"/>
      <c r="K77" s="225"/>
      <c r="L77" s="200"/>
      <c r="M77" s="224"/>
    </row>
    <row r="78" spans="1:13" ht="12">
      <c r="A78" s="260"/>
      <c r="B78" s="200"/>
      <c r="C78" s="225"/>
      <c r="D78" s="225"/>
      <c r="E78" s="225"/>
      <c r="F78" s="200"/>
      <c r="G78" s="200"/>
      <c r="H78" s="200"/>
      <c r="I78" s="200"/>
      <c r="J78" s="200"/>
      <c r="K78" s="225"/>
      <c r="L78" s="200"/>
      <c r="M78" s="224"/>
    </row>
    <row r="79" spans="1:13" ht="12">
      <c r="A79" s="260"/>
      <c r="B79" s="200"/>
      <c r="C79" s="225"/>
      <c r="D79" s="225"/>
      <c r="E79" s="225"/>
      <c r="F79" s="200"/>
      <c r="G79" s="200"/>
      <c r="H79" s="200"/>
      <c r="I79" s="200"/>
      <c r="J79" s="225"/>
      <c r="K79" s="225"/>
      <c r="L79" s="200"/>
      <c r="M79" s="224"/>
    </row>
    <row r="80" spans="1:13" ht="12">
      <c r="A80" s="260"/>
      <c r="B80" s="200"/>
      <c r="C80" s="225"/>
      <c r="D80" s="200"/>
      <c r="E80" s="225"/>
      <c r="F80" s="200"/>
      <c r="G80" s="200"/>
      <c r="H80" s="200"/>
      <c r="I80" s="200"/>
      <c r="J80" s="200"/>
      <c r="K80" s="225"/>
      <c r="L80" s="200"/>
      <c r="M80" s="224"/>
    </row>
    <row r="81" spans="1:13" ht="12">
      <c r="A81" s="264"/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24"/>
    </row>
    <row r="82" spans="1:13" ht="12">
      <c r="A82" s="264"/>
      <c r="B82" s="264"/>
      <c r="C82" s="264"/>
      <c r="D82" s="264"/>
      <c r="E82" s="264"/>
      <c r="F82" s="264"/>
      <c r="G82" s="264"/>
      <c r="H82" s="264"/>
      <c r="I82" s="264"/>
      <c r="J82" s="264"/>
      <c r="K82" s="264"/>
      <c r="L82" s="264"/>
      <c r="M82" s="224"/>
    </row>
    <row r="83" spans="1:13" ht="12">
      <c r="A83" s="164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</row>
    <row r="84" spans="1:13" ht="12">
      <c r="A84" s="262"/>
      <c r="B84" s="226"/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63"/>
    </row>
  </sheetData>
  <sheetProtection/>
  <mergeCells count="4">
    <mergeCell ref="B3:L3"/>
    <mergeCell ref="B8:M8"/>
    <mergeCell ref="B29:M29"/>
    <mergeCell ref="B50:M50"/>
  </mergeCells>
  <printOptions/>
  <pageMargins left="0.5511811023622047" right="0.2362204724409449" top="0.5511811023622047" bottom="0.1968503937007874" header="0.5118110236220472" footer="0.2362204724409449"/>
  <pageSetup fitToHeight="1" fitToWidth="1" orientation="portrait" paperSize="9" scale="68" r:id="rId1"/>
  <headerFooter alignWithMargins="0">
    <oddHeader>&amp;R&amp;F</oddHeader>
    <oddFooter>&amp;LComune di Bologna - Dipartimento Programmazione - Settore Statistica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5"/>
  <sheetViews>
    <sheetView showZeros="0" zoomScale="85" zoomScaleNormal="85" zoomScalePageLayoutView="0" workbookViewId="0" topLeftCell="A1">
      <pane ySplit="7" topLeftCell="A50" activePane="bottomLeft" state="frozen"/>
      <selection pane="topLeft" activeCell="T1" sqref="T1:T16384"/>
      <selection pane="bottomLeft" activeCell="T1" sqref="T1:T16384"/>
    </sheetView>
  </sheetViews>
  <sheetFormatPr defaultColWidth="10.875" defaultRowHeight="12"/>
  <cols>
    <col min="1" max="1" width="30.875" style="138" customWidth="1"/>
    <col min="2" max="3" width="6.125" style="138" bestFit="1" customWidth="1"/>
    <col min="4" max="5" width="7.625" style="138" bestFit="1" customWidth="1"/>
    <col min="6" max="10" width="7.625" style="138" customWidth="1"/>
    <col min="11" max="11" width="9.75390625" style="138" customWidth="1"/>
    <col min="12" max="15" width="7.625" style="138" customWidth="1"/>
    <col min="16" max="16" width="9.875" style="138" customWidth="1"/>
    <col min="17" max="19" width="7.625" style="138" customWidth="1"/>
    <col min="20" max="20" width="9.00390625" style="138" customWidth="1"/>
    <col min="21" max="21" width="8.00390625" style="138" customWidth="1"/>
    <col min="22" max="23" width="9.875" style="138" customWidth="1"/>
    <col min="24" max="16384" width="10.875" style="138" customWidth="1"/>
  </cols>
  <sheetData>
    <row r="1" spans="1:21" s="120" customFormat="1" ht="15" customHeight="1">
      <c r="A1" s="227" t="s">
        <v>116</v>
      </c>
      <c r="B1" s="209"/>
      <c r="C1" s="209"/>
      <c r="D1" s="209"/>
      <c r="E1" s="209"/>
      <c r="F1" s="209"/>
      <c r="G1" s="209"/>
      <c r="H1" s="227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28"/>
      <c r="T1" s="209"/>
      <c r="U1" s="228"/>
    </row>
    <row r="2" spans="1:21" s="131" customFormat="1" ht="15">
      <c r="A2" s="229" t="s">
        <v>130</v>
      </c>
      <c r="B2" s="211"/>
      <c r="C2" s="211"/>
      <c r="D2" s="230"/>
      <c r="E2" s="211"/>
      <c r="F2" s="231"/>
      <c r="G2" s="230"/>
      <c r="H2" s="232"/>
      <c r="I2" s="211"/>
      <c r="J2" s="233"/>
      <c r="K2" s="234" t="s">
        <v>0</v>
      </c>
      <c r="L2" s="211"/>
      <c r="M2" s="211"/>
      <c r="N2" s="211"/>
      <c r="O2" s="211"/>
      <c r="P2" s="211"/>
      <c r="Q2" s="211"/>
      <c r="R2" s="233"/>
      <c r="S2" s="235"/>
      <c r="T2" s="211"/>
      <c r="U2" s="236"/>
    </row>
    <row r="3" spans="1:21" s="135" customFormat="1" ht="12">
      <c r="A3" s="237"/>
      <c r="B3" s="268" t="s">
        <v>2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38" t="s">
        <v>103</v>
      </c>
    </row>
    <row r="4" spans="1:21" ht="12">
      <c r="A4" s="237"/>
      <c r="B4" s="239" t="s">
        <v>14</v>
      </c>
      <c r="C4" s="212" t="s">
        <v>77</v>
      </c>
      <c r="D4" s="212" t="s">
        <v>11</v>
      </c>
      <c r="E4" s="212" t="s">
        <v>17</v>
      </c>
      <c r="F4" s="212" t="s">
        <v>7</v>
      </c>
      <c r="G4" s="239" t="s">
        <v>89</v>
      </c>
      <c r="H4" s="212" t="s">
        <v>5</v>
      </c>
      <c r="I4" s="239" t="s">
        <v>13</v>
      </c>
      <c r="J4" s="212" t="s">
        <v>8</v>
      </c>
      <c r="K4" s="212" t="s">
        <v>15</v>
      </c>
      <c r="L4" s="212" t="s">
        <v>10</v>
      </c>
      <c r="M4" s="212" t="s">
        <v>10</v>
      </c>
      <c r="N4" s="212" t="s">
        <v>16</v>
      </c>
      <c r="O4" s="239" t="s">
        <v>6</v>
      </c>
      <c r="P4" s="212" t="s">
        <v>6</v>
      </c>
      <c r="Q4" s="212" t="s">
        <v>79</v>
      </c>
      <c r="R4" s="212" t="s">
        <v>6</v>
      </c>
      <c r="S4" s="212" t="s">
        <v>6</v>
      </c>
      <c r="T4" s="239" t="s">
        <v>9</v>
      </c>
      <c r="U4" s="239"/>
    </row>
    <row r="5" spans="1:21" ht="12">
      <c r="A5" s="237"/>
      <c r="B5" s="239" t="s">
        <v>31</v>
      </c>
      <c r="C5" s="212" t="s">
        <v>78</v>
      </c>
      <c r="D5" s="212" t="s">
        <v>28</v>
      </c>
      <c r="E5" s="212" t="s">
        <v>35</v>
      </c>
      <c r="F5" s="212" t="s">
        <v>21</v>
      </c>
      <c r="G5" s="212" t="s">
        <v>29</v>
      </c>
      <c r="H5" s="212" t="s">
        <v>19</v>
      </c>
      <c r="I5" s="239" t="s">
        <v>30</v>
      </c>
      <c r="J5" s="212" t="s">
        <v>23</v>
      </c>
      <c r="K5" s="212" t="s">
        <v>33</v>
      </c>
      <c r="L5" s="212" t="s">
        <v>26</v>
      </c>
      <c r="M5" s="212" t="s">
        <v>32</v>
      </c>
      <c r="N5" s="212" t="s">
        <v>34</v>
      </c>
      <c r="O5" s="239" t="s">
        <v>24</v>
      </c>
      <c r="P5" s="212" t="s">
        <v>96</v>
      </c>
      <c r="Q5" s="212" t="s">
        <v>84</v>
      </c>
      <c r="R5" s="212" t="s">
        <v>20</v>
      </c>
      <c r="S5" s="239" t="s">
        <v>22</v>
      </c>
      <c r="T5" s="239" t="s">
        <v>101</v>
      </c>
      <c r="U5" s="239"/>
    </row>
    <row r="6" spans="1:21" ht="12">
      <c r="A6" s="225"/>
      <c r="B6" s="225"/>
      <c r="C6" s="212"/>
      <c r="D6" s="212" t="s">
        <v>44</v>
      </c>
      <c r="E6" s="212" t="s">
        <v>46</v>
      </c>
      <c r="F6" s="239"/>
      <c r="G6" s="225"/>
      <c r="H6" s="212" t="s">
        <v>36</v>
      </c>
      <c r="I6" s="225"/>
      <c r="J6" s="212" t="s">
        <v>39</v>
      </c>
      <c r="K6" s="212" t="s">
        <v>95</v>
      </c>
      <c r="L6" s="212" t="s">
        <v>42</v>
      </c>
      <c r="M6" s="212" t="s">
        <v>45</v>
      </c>
      <c r="N6" s="212"/>
      <c r="O6" s="240" t="s">
        <v>40</v>
      </c>
      <c r="P6" s="212" t="s">
        <v>97</v>
      </c>
      <c r="Q6" s="212" t="s">
        <v>85</v>
      </c>
      <c r="R6" s="212" t="s">
        <v>37</v>
      </c>
      <c r="S6" s="239" t="s">
        <v>38</v>
      </c>
      <c r="T6" s="239" t="s">
        <v>99</v>
      </c>
      <c r="U6" s="239"/>
    </row>
    <row r="7" spans="1:21" s="131" customFormat="1" ht="12">
      <c r="A7" s="241"/>
      <c r="B7" s="242"/>
      <c r="C7" s="213"/>
      <c r="D7" s="242"/>
      <c r="E7" s="213" t="s">
        <v>93</v>
      </c>
      <c r="F7" s="242"/>
      <c r="G7" s="242"/>
      <c r="H7" s="241"/>
      <c r="I7" s="242"/>
      <c r="J7" s="213" t="s">
        <v>47</v>
      </c>
      <c r="K7" s="213" t="s">
        <v>94</v>
      </c>
      <c r="L7" s="213" t="s">
        <v>50</v>
      </c>
      <c r="M7" s="213" t="s">
        <v>51</v>
      </c>
      <c r="N7" s="213"/>
      <c r="O7" s="242" t="s">
        <v>48</v>
      </c>
      <c r="P7" s="213" t="s">
        <v>98</v>
      </c>
      <c r="Q7" s="213"/>
      <c r="R7" s="242"/>
      <c r="S7" s="242"/>
      <c r="T7" s="242" t="s">
        <v>100</v>
      </c>
      <c r="U7" s="242"/>
    </row>
    <row r="8" spans="2:21" s="135" customFormat="1" ht="12">
      <c r="B8" s="214"/>
      <c r="C8" s="214"/>
      <c r="E8" s="214"/>
      <c r="F8" s="214"/>
      <c r="G8" s="214"/>
      <c r="H8" s="214"/>
      <c r="I8" s="214"/>
      <c r="J8" s="218"/>
      <c r="K8" s="214" t="s">
        <v>54</v>
      </c>
      <c r="L8" s="214"/>
      <c r="M8" s="214"/>
      <c r="N8" s="214"/>
      <c r="O8" s="214"/>
      <c r="P8" s="243"/>
      <c r="Q8" s="214"/>
      <c r="R8" s="214"/>
      <c r="S8" s="214"/>
      <c r="T8" s="214"/>
      <c r="U8" s="214"/>
    </row>
    <row r="9" spans="1:66" s="120" customFormat="1" ht="12">
      <c r="A9" s="244" t="s">
        <v>104</v>
      </c>
      <c r="B9" s="215"/>
      <c r="C9" s="215"/>
      <c r="D9" s="169"/>
      <c r="E9" s="169"/>
      <c r="F9" s="169"/>
      <c r="G9" s="169"/>
      <c r="H9" s="215"/>
      <c r="I9" s="169"/>
      <c r="J9" s="169"/>
      <c r="K9" s="215"/>
      <c r="L9" s="169"/>
      <c r="M9" s="169"/>
      <c r="N9" s="169"/>
      <c r="O9" s="169"/>
      <c r="P9" s="169"/>
      <c r="Q9" s="169"/>
      <c r="R9" s="215"/>
      <c r="S9" s="215"/>
      <c r="T9" s="215"/>
      <c r="U9" s="172"/>
      <c r="V9" s="150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</row>
    <row r="10" spans="1:66" ht="12">
      <c r="A10" s="245" t="s">
        <v>105</v>
      </c>
      <c r="B10" s="215">
        <f aca="true" t="shared" si="0" ref="B10:T10">+B35+B60</f>
        <v>0</v>
      </c>
      <c r="C10" s="215">
        <f t="shared" si="0"/>
        <v>0</v>
      </c>
      <c r="D10" s="215">
        <f t="shared" si="0"/>
        <v>0</v>
      </c>
      <c r="E10" s="215">
        <f t="shared" si="0"/>
        <v>0</v>
      </c>
      <c r="F10" s="215">
        <f t="shared" si="0"/>
        <v>0</v>
      </c>
      <c r="G10" s="215">
        <f t="shared" si="0"/>
        <v>5</v>
      </c>
      <c r="H10" s="215">
        <f t="shared" si="0"/>
        <v>2</v>
      </c>
      <c r="I10" s="215">
        <f t="shared" si="0"/>
        <v>0</v>
      </c>
      <c r="J10" s="215">
        <f t="shared" si="0"/>
        <v>0</v>
      </c>
      <c r="K10" s="215">
        <f t="shared" si="0"/>
        <v>0</v>
      </c>
      <c r="L10" s="215">
        <f t="shared" si="0"/>
        <v>0</v>
      </c>
      <c r="M10" s="215">
        <f t="shared" si="0"/>
        <v>0</v>
      </c>
      <c r="N10" s="215">
        <f t="shared" si="0"/>
        <v>0</v>
      </c>
      <c r="O10" s="215">
        <f t="shared" si="0"/>
        <v>640</v>
      </c>
      <c r="P10" s="215">
        <f t="shared" si="0"/>
        <v>0</v>
      </c>
      <c r="Q10" s="215">
        <f t="shared" si="0"/>
        <v>1</v>
      </c>
      <c r="R10" s="215">
        <f t="shared" si="0"/>
        <v>0</v>
      </c>
      <c r="S10" s="215">
        <f t="shared" si="0"/>
        <v>0</v>
      </c>
      <c r="T10" s="215">
        <f t="shared" si="0"/>
        <v>0</v>
      </c>
      <c r="U10" s="172">
        <f>SUM(B10:T10)</f>
        <v>648</v>
      </c>
      <c r="V10" s="150"/>
      <c r="W10" s="150"/>
      <c r="X10" s="150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6"/>
    </row>
    <row r="11" spans="1:66" ht="12">
      <c r="A11" s="245" t="s">
        <v>115</v>
      </c>
      <c r="B11" s="215">
        <f aca="true" t="shared" si="1" ref="B11:T11">+B36+B61</f>
        <v>46</v>
      </c>
      <c r="C11" s="215">
        <f t="shared" si="1"/>
        <v>0</v>
      </c>
      <c r="D11" s="215">
        <f t="shared" si="1"/>
        <v>7</v>
      </c>
      <c r="E11" s="215">
        <f t="shared" si="1"/>
        <v>86</v>
      </c>
      <c r="F11" s="215">
        <f t="shared" si="1"/>
        <v>194</v>
      </c>
      <c r="G11" s="215">
        <f t="shared" si="1"/>
        <v>89</v>
      </c>
      <c r="H11" s="215">
        <f t="shared" si="1"/>
        <v>743</v>
      </c>
      <c r="I11" s="215">
        <f t="shared" si="1"/>
        <v>427</v>
      </c>
      <c r="J11" s="215">
        <f t="shared" si="1"/>
        <v>739</v>
      </c>
      <c r="K11" s="215">
        <f t="shared" si="1"/>
        <v>110</v>
      </c>
      <c r="L11" s="215">
        <f t="shared" si="1"/>
        <v>112</v>
      </c>
      <c r="M11" s="215">
        <f t="shared" si="1"/>
        <v>37</v>
      </c>
      <c r="N11" s="215">
        <f t="shared" si="1"/>
        <v>70</v>
      </c>
      <c r="O11" s="215">
        <f t="shared" si="1"/>
        <v>659</v>
      </c>
      <c r="P11" s="215">
        <f t="shared" si="1"/>
        <v>168</v>
      </c>
      <c r="Q11" s="215">
        <f t="shared" si="1"/>
        <v>57</v>
      </c>
      <c r="R11" s="215">
        <f t="shared" si="1"/>
        <v>321</v>
      </c>
      <c r="S11" s="215">
        <f t="shared" si="1"/>
        <v>15</v>
      </c>
      <c r="T11" s="215">
        <f t="shared" si="1"/>
        <v>5</v>
      </c>
      <c r="U11" s="172">
        <f>SUM(B11:T11)</f>
        <v>3885</v>
      </c>
      <c r="V11" s="150"/>
      <c r="W11" s="150"/>
      <c r="X11" s="150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</row>
    <row r="12" spans="1:66" ht="12">
      <c r="A12" s="245" t="s">
        <v>107</v>
      </c>
      <c r="B12" s="215">
        <f aca="true" t="shared" si="2" ref="B12:T12">+B37+B62</f>
        <v>46</v>
      </c>
      <c r="C12" s="215">
        <f t="shared" si="2"/>
        <v>0</v>
      </c>
      <c r="D12" s="215">
        <f t="shared" si="2"/>
        <v>7</v>
      </c>
      <c r="E12" s="215">
        <f t="shared" si="2"/>
        <v>86</v>
      </c>
      <c r="F12" s="215">
        <f t="shared" si="2"/>
        <v>194</v>
      </c>
      <c r="G12" s="215">
        <f t="shared" si="2"/>
        <v>94</v>
      </c>
      <c r="H12" s="215">
        <f t="shared" si="2"/>
        <v>745</v>
      </c>
      <c r="I12" s="215">
        <f t="shared" si="2"/>
        <v>427</v>
      </c>
      <c r="J12" s="215">
        <f t="shared" si="2"/>
        <v>739</v>
      </c>
      <c r="K12" s="215">
        <f t="shared" si="2"/>
        <v>110</v>
      </c>
      <c r="L12" s="215">
        <f t="shared" si="2"/>
        <v>112</v>
      </c>
      <c r="M12" s="215">
        <f t="shared" si="2"/>
        <v>37</v>
      </c>
      <c r="N12" s="215">
        <f t="shared" si="2"/>
        <v>70</v>
      </c>
      <c r="O12" s="215">
        <f t="shared" si="2"/>
        <v>1299</v>
      </c>
      <c r="P12" s="215">
        <f t="shared" si="2"/>
        <v>168</v>
      </c>
      <c r="Q12" s="215">
        <f t="shared" si="2"/>
        <v>58</v>
      </c>
      <c r="R12" s="215">
        <f t="shared" si="2"/>
        <v>321</v>
      </c>
      <c r="S12" s="215">
        <f t="shared" si="2"/>
        <v>15</v>
      </c>
      <c r="T12" s="215">
        <f t="shared" si="2"/>
        <v>5</v>
      </c>
      <c r="U12" s="217">
        <f>+U10+U11</f>
        <v>4533</v>
      </c>
      <c r="V12" s="158"/>
      <c r="W12" s="150"/>
      <c r="X12" s="150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</row>
    <row r="13" spans="1:66" ht="12">
      <c r="A13" s="244" t="s">
        <v>108</v>
      </c>
      <c r="B13" s="215"/>
      <c r="C13" s="169"/>
      <c r="D13" s="169"/>
      <c r="E13" s="169"/>
      <c r="F13" s="169"/>
      <c r="G13" s="169"/>
      <c r="H13" s="215"/>
      <c r="I13" s="169"/>
      <c r="J13" s="169"/>
      <c r="K13" s="215"/>
      <c r="L13" s="169"/>
      <c r="M13" s="169"/>
      <c r="N13" s="169"/>
      <c r="O13" s="169"/>
      <c r="P13" s="169"/>
      <c r="Q13" s="169"/>
      <c r="R13" s="215"/>
      <c r="S13" s="215"/>
      <c r="T13" s="215"/>
      <c r="U13" s="172"/>
      <c r="V13" s="158"/>
      <c r="W13" s="150"/>
      <c r="X13" s="150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</row>
    <row r="14" spans="1:66" ht="12">
      <c r="A14" s="245" t="s">
        <v>105</v>
      </c>
      <c r="B14" s="215">
        <f aca="true" t="shared" si="3" ref="B14:T14">+B39+B64</f>
        <v>0</v>
      </c>
      <c r="C14" s="215">
        <f t="shared" si="3"/>
        <v>0</v>
      </c>
      <c r="D14" s="215">
        <f t="shared" si="3"/>
        <v>0</v>
      </c>
      <c r="E14" s="215">
        <f t="shared" si="3"/>
        <v>0</v>
      </c>
      <c r="F14" s="215">
        <f t="shared" si="3"/>
        <v>0</v>
      </c>
      <c r="G14" s="215">
        <f t="shared" si="3"/>
        <v>0</v>
      </c>
      <c r="H14" s="215">
        <f t="shared" si="3"/>
        <v>0</v>
      </c>
      <c r="I14" s="215">
        <f t="shared" si="3"/>
        <v>0</v>
      </c>
      <c r="J14" s="215">
        <f t="shared" si="3"/>
        <v>0</v>
      </c>
      <c r="K14" s="215">
        <f t="shared" si="3"/>
        <v>0</v>
      </c>
      <c r="L14" s="215">
        <f t="shared" si="3"/>
        <v>0</v>
      </c>
      <c r="M14" s="215">
        <f t="shared" si="3"/>
        <v>0</v>
      </c>
      <c r="N14" s="215">
        <f t="shared" si="3"/>
        <v>0</v>
      </c>
      <c r="O14" s="215">
        <f t="shared" si="3"/>
        <v>0</v>
      </c>
      <c r="P14" s="215">
        <f t="shared" si="3"/>
        <v>0</v>
      </c>
      <c r="Q14" s="215">
        <f t="shared" si="3"/>
        <v>0</v>
      </c>
      <c r="R14" s="215">
        <f t="shared" si="3"/>
        <v>0</v>
      </c>
      <c r="S14" s="215">
        <f t="shared" si="3"/>
        <v>0</v>
      </c>
      <c r="T14" s="215">
        <f t="shared" si="3"/>
        <v>0</v>
      </c>
      <c r="U14" s="172">
        <f>SUM(B14:T14)</f>
        <v>0</v>
      </c>
      <c r="V14" s="158"/>
      <c r="W14" s="150"/>
      <c r="X14" s="150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</row>
    <row r="15" spans="1:66" s="248" customFormat="1" ht="12">
      <c r="A15" s="245" t="s">
        <v>115</v>
      </c>
      <c r="B15" s="215">
        <f aca="true" t="shared" si="4" ref="B15:T15">+B40+B65</f>
        <v>1</v>
      </c>
      <c r="C15" s="215">
        <f t="shared" si="4"/>
        <v>0</v>
      </c>
      <c r="D15" s="215">
        <f t="shared" si="4"/>
        <v>0</v>
      </c>
      <c r="E15" s="215">
        <f t="shared" si="4"/>
        <v>0</v>
      </c>
      <c r="F15" s="215">
        <f t="shared" si="4"/>
        <v>1</v>
      </c>
      <c r="G15" s="215">
        <f t="shared" si="4"/>
        <v>0</v>
      </c>
      <c r="H15" s="215">
        <f t="shared" si="4"/>
        <v>1</v>
      </c>
      <c r="I15" s="215">
        <f t="shared" si="4"/>
        <v>3</v>
      </c>
      <c r="J15" s="215">
        <f t="shared" si="4"/>
        <v>0</v>
      </c>
      <c r="K15" s="215">
        <f t="shared" si="4"/>
        <v>0</v>
      </c>
      <c r="L15" s="215">
        <f t="shared" si="4"/>
        <v>1</v>
      </c>
      <c r="M15" s="215">
        <f t="shared" si="4"/>
        <v>0</v>
      </c>
      <c r="N15" s="215">
        <f t="shared" si="4"/>
        <v>0</v>
      </c>
      <c r="O15" s="215">
        <f t="shared" si="4"/>
        <v>1</v>
      </c>
      <c r="P15" s="215">
        <f t="shared" si="4"/>
        <v>0</v>
      </c>
      <c r="Q15" s="215">
        <f t="shared" si="4"/>
        <v>0</v>
      </c>
      <c r="R15" s="215">
        <f t="shared" si="4"/>
        <v>0</v>
      </c>
      <c r="S15" s="215">
        <f t="shared" si="4"/>
        <v>0</v>
      </c>
      <c r="T15" s="215">
        <f t="shared" si="4"/>
        <v>0</v>
      </c>
      <c r="U15" s="172">
        <f>SUM(B15:T15)</f>
        <v>8</v>
      </c>
      <c r="V15" s="164"/>
      <c r="W15" s="150"/>
      <c r="X15" s="150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247"/>
      <c r="BC15" s="247"/>
      <c r="BD15" s="247"/>
      <c r="BE15" s="247"/>
      <c r="BF15" s="247"/>
      <c r="BG15" s="247"/>
      <c r="BH15" s="247"/>
      <c r="BI15" s="247"/>
      <c r="BJ15" s="247"/>
      <c r="BK15" s="247"/>
      <c r="BL15" s="247"/>
      <c r="BM15" s="247"/>
      <c r="BN15" s="247"/>
    </row>
    <row r="16" spans="1:66" ht="12">
      <c r="A16" s="245" t="s">
        <v>107</v>
      </c>
      <c r="B16" s="215">
        <f aca="true" t="shared" si="5" ref="B16:T16">+B41+B66</f>
        <v>1</v>
      </c>
      <c r="C16" s="215">
        <f t="shared" si="5"/>
        <v>0</v>
      </c>
      <c r="D16" s="215">
        <f t="shared" si="5"/>
        <v>0</v>
      </c>
      <c r="E16" s="215">
        <f t="shared" si="5"/>
        <v>0</v>
      </c>
      <c r="F16" s="215">
        <f t="shared" si="5"/>
        <v>1</v>
      </c>
      <c r="G16" s="215">
        <f t="shared" si="5"/>
        <v>0</v>
      </c>
      <c r="H16" s="215">
        <f t="shared" si="5"/>
        <v>1</v>
      </c>
      <c r="I16" s="215">
        <f t="shared" si="5"/>
        <v>3</v>
      </c>
      <c r="J16" s="215">
        <f t="shared" si="5"/>
        <v>0</v>
      </c>
      <c r="K16" s="215">
        <f t="shared" si="5"/>
        <v>0</v>
      </c>
      <c r="L16" s="215">
        <f t="shared" si="5"/>
        <v>1</v>
      </c>
      <c r="M16" s="215">
        <f t="shared" si="5"/>
        <v>0</v>
      </c>
      <c r="N16" s="215">
        <f t="shared" si="5"/>
        <v>0</v>
      </c>
      <c r="O16" s="215">
        <f t="shared" si="5"/>
        <v>1</v>
      </c>
      <c r="P16" s="215">
        <f t="shared" si="5"/>
        <v>0</v>
      </c>
      <c r="Q16" s="215">
        <f t="shared" si="5"/>
        <v>0</v>
      </c>
      <c r="R16" s="215">
        <f t="shared" si="5"/>
        <v>0</v>
      </c>
      <c r="S16" s="215">
        <f t="shared" si="5"/>
        <v>0</v>
      </c>
      <c r="T16" s="215">
        <f t="shared" si="5"/>
        <v>0</v>
      </c>
      <c r="U16" s="217">
        <f>+U14+U15</f>
        <v>8</v>
      </c>
      <c r="V16" s="158"/>
      <c r="W16" s="150"/>
      <c r="X16" s="150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</row>
    <row r="17" spans="1:66" s="250" customFormat="1" ht="12">
      <c r="A17" s="244" t="s">
        <v>109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9"/>
      <c r="S17" s="163"/>
      <c r="T17" s="163"/>
      <c r="U17" s="172"/>
      <c r="V17" s="164"/>
      <c r="W17" s="150"/>
      <c r="X17" s="150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</row>
    <row r="18" spans="1:66" ht="13.5" customHeight="1">
      <c r="A18" s="245" t="s">
        <v>105</v>
      </c>
      <c r="B18" s="215">
        <f aca="true" t="shared" si="6" ref="B18:T18">+B43+B68</f>
        <v>1183</v>
      </c>
      <c r="C18" s="215">
        <f t="shared" si="6"/>
        <v>114</v>
      </c>
      <c r="D18" s="215">
        <f t="shared" si="6"/>
        <v>442</v>
      </c>
      <c r="E18" s="215">
        <f t="shared" si="6"/>
        <v>391</v>
      </c>
      <c r="F18" s="215">
        <f t="shared" si="6"/>
        <v>4253</v>
      </c>
      <c r="G18" s="215">
        <f t="shared" si="6"/>
        <v>604</v>
      </c>
      <c r="H18" s="215">
        <f t="shared" si="6"/>
        <v>793</v>
      </c>
      <c r="I18" s="215">
        <f t="shared" si="6"/>
        <v>5028</v>
      </c>
      <c r="J18" s="215">
        <f t="shared" si="6"/>
        <v>6295</v>
      </c>
      <c r="K18" s="215">
        <f t="shared" si="6"/>
        <v>1866</v>
      </c>
      <c r="L18" s="215">
        <f t="shared" si="6"/>
        <v>2605</v>
      </c>
      <c r="M18" s="215">
        <f t="shared" si="6"/>
        <v>95</v>
      </c>
      <c r="N18" s="215">
        <f t="shared" si="6"/>
        <v>782</v>
      </c>
      <c r="O18" s="215">
        <f t="shared" si="6"/>
        <v>1997</v>
      </c>
      <c r="P18" s="215">
        <f t="shared" si="6"/>
        <v>3190</v>
      </c>
      <c r="Q18" s="215">
        <f t="shared" si="6"/>
        <v>1120</v>
      </c>
      <c r="R18" s="215">
        <f t="shared" si="6"/>
        <v>3708</v>
      </c>
      <c r="S18" s="215">
        <f t="shared" si="6"/>
        <v>564</v>
      </c>
      <c r="T18" s="215">
        <f t="shared" si="6"/>
        <v>531</v>
      </c>
      <c r="U18" s="172">
        <f>SUM(B18:T18)</f>
        <v>35561</v>
      </c>
      <c r="V18" s="167"/>
      <c r="W18" s="167"/>
      <c r="X18" s="167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6"/>
      <c r="BA18" s="246"/>
      <c r="BB18" s="246"/>
      <c r="BC18" s="246"/>
      <c r="BD18" s="246"/>
      <c r="BE18" s="246"/>
      <c r="BF18" s="246"/>
      <c r="BG18" s="246"/>
      <c r="BH18" s="246"/>
      <c r="BI18" s="246"/>
      <c r="BJ18" s="246"/>
      <c r="BK18" s="246"/>
      <c r="BL18" s="246"/>
      <c r="BM18" s="246"/>
      <c r="BN18" s="246"/>
    </row>
    <row r="19" spans="1:38" ht="12">
      <c r="A19" s="245" t="s">
        <v>115</v>
      </c>
      <c r="B19" s="215">
        <f aca="true" t="shared" si="7" ref="B19:T19">+B44+B69</f>
        <v>366</v>
      </c>
      <c r="C19" s="215">
        <f t="shared" si="7"/>
        <v>32</v>
      </c>
      <c r="D19" s="215">
        <f t="shared" si="7"/>
        <v>68</v>
      </c>
      <c r="E19" s="215">
        <f t="shared" si="7"/>
        <v>221</v>
      </c>
      <c r="F19" s="215">
        <f t="shared" si="7"/>
        <v>2095</v>
      </c>
      <c r="G19" s="215">
        <f t="shared" si="7"/>
        <v>94</v>
      </c>
      <c r="H19" s="215">
        <f t="shared" si="7"/>
        <v>461</v>
      </c>
      <c r="I19" s="215">
        <f t="shared" si="7"/>
        <v>2315</v>
      </c>
      <c r="J19" s="215">
        <f t="shared" si="7"/>
        <v>2359</v>
      </c>
      <c r="K19" s="215">
        <f t="shared" si="7"/>
        <v>788</v>
      </c>
      <c r="L19" s="215">
        <f t="shared" si="7"/>
        <v>631</v>
      </c>
      <c r="M19" s="215">
        <f t="shared" si="7"/>
        <v>39</v>
      </c>
      <c r="N19" s="215">
        <f t="shared" si="7"/>
        <v>229</v>
      </c>
      <c r="O19" s="215">
        <f t="shared" si="7"/>
        <v>948</v>
      </c>
      <c r="P19" s="215">
        <f t="shared" si="7"/>
        <v>1185</v>
      </c>
      <c r="Q19" s="215">
        <f t="shared" si="7"/>
        <v>105</v>
      </c>
      <c r="R19" s="215">
        <f t="shared" si="7"/>
        <v>1207</v>
      </c>
      <c r="S19" s="215">
        <f t="shared" si="7"/>
        <v>96</v>
      </c>
      <c r="T19" s="215">
        <f t="shared" si="7"/>
        <v>27</v>
      </c>
      <c r="U19" s="172">
        <f>SUM(B19:T19)</f>
        <v>13266</v>
      </c>
      <c r="V19" s="167"/>
      <c r="W19" s="167"/>
      <c r="X19" s="167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</row>
    <row r="20" spans="1:66" ht="12">
      <c r="A20" s="245" t="s">
        <v>107</v>
      </c>
      <c r="B20" s="215">
        <f aca="true" t="shared" si="8" ref="B20:T20">+B45+B70</f>
        <v>1549</v>
      </c>
      <c r="C20" s="215">
        <f t="shared" si="8"/>
        <v>146</v>
      </c>
      <c r="D20" s="215">
        <f t="shared" si="8"/>
        <v>510</v>
      </c>
      <c r="E20" s="215">
        <f t="shared" si="8"/>
        <v>612</v>
      </c>
      <c r="F20" s="215">
        <f t="shared" si="8"/>
        <v>6348</v>
      </c>
      <c r="G20" s="215">
        <f t="shared" si="8"/>
        <v>698</v>
      </c>
      <c r="H20" s="215">
        <f t="shared" si="8"/>
        <v>1254</v>
      </c>
      <c r="I20" s="215">
        <f t="shared" si="8"/>
        <v>7343</v>
      </c>
      <c r="J20" s="215">
        <f t="shared" si="8"/>
        <v>8654</v>
      </c>
      <c r="K20" s="215">
        <f t="shared" si="8"/>
        <v>2654</v>
      </c>
      <c r="L20" s="215">
        <f t="shared" si="8"/>
        <v>3236</v>
      </c>
      <c r="M20" s="215">
        <f t="shared" si="8"/>
        <v>134</v>
      </c>
      <c r="N20" s="215">
        <f t="shared" si="8"/>
        <v>1011</v>
      </c>
      <c r="O20" s="215">
        <f t="shared" si="8"/>
        <v>2945</v>
      </c>
      <c r="P20" s="215">
        <f t="shared" si="8"/>
        <v>4375</v>
      </c>
      <c r="Q20" s="215">
        <f t="shared" si="8"/>
        <v>1225</v>
      </c>
      <c r="R20" s="215">
        <f t="shared" si="8"/>
        <v>4915</v>
      </c>
      <c r="S20" s="215">
        <f t="shared" si="8"/>
        <v>660</v>
      </c>
      <c r="T20" s="215">
        <f t="shared" si="8"/>
        <v>558</v>
      </c>
      <c r="U20" s="217">
        <f>+U18+U19</f>
        <v>48827</v>
      </c>
      <c r="V20" s="158"/>
      <c r="W20" s="150"/>
      <c r="X20" s="150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6"/>
    </row>
    <row r="21" spans="1:38" ht="24">
      <c r="A21" s="244" t="s">
        <v>117</v>
      </c>
      <c r="B21" s="169"/>
      <c r="C21" s="170"/>
      <c r="D21" s="170"/>
      <c r="E21" s="170"/>
      <c r="F21" s="169"/>
      <c r="G21" s="169"/>
      <c r="H21" s="171"/>
      <c r="I21" s="169"/>
      <c r="J21" s="172"/>
      <c r="K21" s="170"/>
      <c r="L21" s="172"/>
      <c r="M21" s="172"/>
      <c r="N21" s="170"/>
      <c r="O21" s="169"/>
      <c r="P21" s="172"/>
      <c r="Q21" s="170"/>
      <c r="R21" s="169"/>
      <c r="S21" s="169"/>
      <c r="T21" s="169"/>
      <c r="U21" s="172"/>
      <c r="V21" s="171"/>
      <c r="W21" s="171"/>
      <c r="X21" s="171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</row>
    <row r="22" spans="1:38" ht="12">
      <c r="A22" s="245" t="s">
        <v>105</v>
      </c>
      <c r="B22" s="215">
        <f aca="true" t="shared" si="9" ref="B22:T22">+B47+B72</f>
        <v>200</v>
      </c>
      <c r="C22" s="215">
        <f t="shared" si="9"/>
        <v>0</v>
      </c>
      <c r="D22" s="215">
        <f t="shared" si="9"/>
        <v>175</v>
      </c>
      <c r="E22" s="215">
        <f t="shared" si="9"/>
        <v>207</v>
      </c>
      <c r="F22" s="215">
        <f t="shared" si="9"/>
        <v>1443</v>
      </c>
      <c r="G22" s="215">
        <f t="shared" si="9"/>
        <v>73</v>
      </c>
      <c r="H22" s="215">
        <f t="shared" si="9"/>
        <v>1</v>
      </c>
      <c r="I22" s="215">
        <f t="shared" si="9"/>
        <v>1844</v>
      </c>
      <c r="J22" s="215">
        <f t="shared" si="9"/>
        <v>2272</v>
      </c>
      <c r="K22" s="215">
        <f t="shared" si="9"/>
        <v>440</v>
      </c>
      <c r="L22" s="215">
        <f t="shared" si="9"/>
        <v>109</v>
      </c>
      <c r="M22" s="215">
        <f t="shared" si="9"/>
        <v>65</v>
      </c>
      <c r="N22" s="215">
        <f t="shared" si="9"/>
        <v>620</v>
      </c>
      <c r="O22" s="215">
        <f t="shared" si="9"/>
        <v>559</v>
      </c>
      <c r="P22" s="215">
        <f t="shared" si="9"/>
        <v>1203</v>
      </c>
      <c r="Q22" s="215">
        <f t="shared" si="9"/>
        <v>226</v>
      </c>
      <c r="R22" s="215">
        <f t="shared" si="9"/>
        <v>1188</v>
      </c>
      <c r="S22" s="215">
        <f t="shared" si="9"/>
        <v>225</v>
      </c>
      <c r="T22" s="215">
        <f t="shared" si="9"/>
        <v>224</v>
      </c>
      <c r="U22" s="172">
        <f>SUM(B22:T22)</f>
        <v>11074</v>
      </c>
      <c r="V22" s="150"/>
      <c r="W22" s="150"/>
      <c r="X22" s="150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</row>
    <row r="23" spans="1:38" ht="12">
      <c r="A23" s="245" t="s">
        <v>115</v>
      </c>
      <c r="B23" s="215">
        <f aca="true" t="shared" si="10" ref="B23:T23">+B48+B73</f>
        <v>45</v>
      </c>
      <c r="C23" s="215">
        <f t="shared" si="10"/>
        <v>0</v>
      </c>
      <c r="D23" s="215">
        <f t="shared" si="10"/>
        <v>14</v>
      </c>
      <c r="E23" s="215">
        <f t="shared" si="10"/>
        <v>64</v>
      </c>
      <c r="F23" s="215">
        <f t="shared" si="10"/>
        <v>285</v>
      </c>
      <c r="G23" s="215">
        <f t="shared" si="10"/>
        <v>6</v>
      </c>
      <c r="H23" s="215">
        <f t="shared" si="10"/>
        <v>76</v>
      </c>
      <c r="I23" s="215">
        <f t="shared" si="10"/>
        <v>976</v>
      </c>
      <c r="J23" s="215">
        <f t="shared" si="10"/>
        <v>879</v>
      </c>
      <c r="K23" s="215">
        <f t="shared" si="10"/>
        <v>113</v>
      </c>
      <c r="L23" s="215">
        <f t="shared" si="10"/>
        <v>5</v>
      </c>
      <c r="M23" s="215">
        <f t="shared" si="10"/>
        <v>18</v>
      </c>
      <c r="N23" s="215">
        <f t="shared" si="10"/>
        <v>122</v>
      </c>
      <c r="O23" s="215">
        <f t="shared" si="10"/>
        <v>264</v>
      </c>
      <c r="P23" s="215">
        <f t="shared" si="10"/>
        <v>307</v>
      </c>
      <c r="Q23" s="215">
        <f t="shared" si="10"/>
        <v>9</v>
      </c>
      <c r="R23" s="215">
        <f t="shared" si="10"/>
        <v>334</v>
      </c>
      <c r="S23" s="215">
        <f t="shared" si="10"/>
        <v>106</v>
      </c>
      <c r="T23" s="215">
        <f t="shared" si="10"/>
        <v>23</v>
      </c>
      <c r="U23" s="172">
        <f>SUM(B23:T23)</f>
        <v>3646</v>
      </c>
      <c r="V23" s="164"/>
      <c r="W23" s="164"/>
      <c r="X23" s="164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</row>
    <row r="24" spans="1:66" ht="12">
      <c r="A24" s="245" t="s">
        <v>107</v>
      </c>
      <c r="B24" s="215">
        <f aca="true" t="shared" si="11" ref="B24:T24">+B49+B74</f>
        <v>245</v>
      </c>
      <c r="C24" s="215">
        <f t="shared" si="11"/>
        <v>0</v>
      </c>
      <c r="D24" s="215">
        <f t="shared" si="11"/>
        <v>189</v>
      </c>
      <c r="E24" s="215">
        <f t="shared" si="11"/>
        <v>271</v>
      </c>
      <c r="F24" s="215">
        <f t="shared" si="11"/>
        <v>1728</v>
      </c>
      <c r="G24" s="215">
        <f t="shared" si="11"/>
        <v>79</v>
      </c>
      <c r="H24" s="215">
        <f t="shared" si="11"/>
        <v>77</v>
      </c>
      <c r="I24" s="215">
        <f t="shared" si="11"/>
        <v>2820</v>
      </c>
      <c r="J24" s="215">
        <f t="shared" si="11"/>
        <v>3151</v>
      </c>
      <c r="K24" s="215">
        <f t="shared" si="11"/>
        <v>553</v>
      </c>
      <c r="L24" s="215">
        <f t="shared" si="11"/>
        <v>114</v>
      </c>
      <c r="M24" s="215">
        <f t="shared" si="11"/>
        <v>83</v>
      </c>
      <c r="N24" s="215">
        <f t="shared" si="11"/>
        <v>742</v>
      </c>
      <c r="O24" s="215">
        <f t="shared" si="11"/>
        <v>823</v>
      </c>
      <c r="P24" s="215">
        <f t="shared" si="11"/>
        <v>1510</v>
      </c>
      <c r="Q24" s="215">
        <f t="shared" si="11"/>
        <v>235</v>
      </c>
      <c r="R24" s="215">
        <f t="shared" si="11"/>
        <v>1522</v>
      </c>
      <c r="S24" s="215">
        <f t="shared" si="11"/>
        <v>331</v>
      </c>
      <c r="T24" s="215">
        <f t="shared" si="11"/>
        <v>247</v>
      </c>
      <c r="U24" s="217">
        <f>+U22+U23</f>
        <v>14720</v>
      </c>
      <c r="V24" s="158"/>
      <c r="W24" s="150"/>
      <c r="X24" s="150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  <c r="BG24" s="246"/>
      <c r="BH24" s="246"/>
      <c r="BI24" s="246"/>
      <c r="BJ24" s="246"/>
      <c r="BK24" s="246"/>
      <c r="BL24" s="246"/>
      <c r="BM24" s="246"/>
      <c r="BN24" s="246"/>
    </row>
    <row r="25" spans="1:38" ht="12">
      <c r="A25" s="244" t="s">
        <v>111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72"/>
      <c r="V25" s="163"/>
      <c r="W25" s="163"/>
      <c r="X25" s="163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</row>
    <row r="26" spans="1:38" ht="12">
      <c r="A26" s="245" t="s">
        <v>105</v>
      </c>
      <c r="B26" s="215">
        <f aca="true" t="shared" si="12" ref="B26:U26">B51+B76</f>
        <v>0</v>
      </c>
      <c r="C26" s="215">
        <f t="shared" si="12"/>
        <v>567</v>
      </c>
      <c r="D26" s="215">
        <f t="shared" si="12"/>
        <v>0</v>
      </c>
      <c r="E26" s="215">
        <f t="shared" si="12"/>
        <v>0</v>
      </c>
      <c r="F26" s="215">
        <f t="shared" si="12"/>
        <v>0</v>
      </c>
      <c r="G26" s="215">
        <f t="shared" si="12"/>
        <v>2127</v>
      </c>
      <c r="H26" s="215">
        <f t="shared" si="12"/>
        <v>4750</v>
      </c>
      <c r="I26" s="215">
        <f t="shared" si="12"/>
        <v>671</v>
      </c>
      <c r="J26" s="215">
        <f t="shared" si="12"/>
        <v>0</v>
      </c>
      <c r="K26" s="215">
        <f t="shared" si="12"/>
        <v>0</v>
      </c>
      <c r="L26" s="215">
        <f t="shared" si="12"/>
        <v>2362</v>
      </c>
      <c r="M26" s="215">
        <f t="shared" si="12"/>
        <v>747</v>
      </c>
      <c r="N26" s="215">
        <f t="shared" si="12"/>
        <v>0</v>
      </c>
      <c r="O26" s="215">
        <f t="shared" si="12"/>
        <v>293</v>
      </c>
      <c r="P26" s="215">
        <f t="shared" si="12"/>
        <v>0</v>
      </c>
      <c r="Q26" s="215">
        <f t="shared" si="12"/>
        <v>0</v>
      </c>
      <c r="R26" s="215">
        <f t="shared" si="12"/>
        <v>0</v>
      </c>
      <c r="S26" s="215">
        <f t="shared" si="12"/>
        <v>0</v>
      </c>
      <c r="T26" s="215">
        <f t="shared" si="12"/>
        <v>0</v>
      </c>
      <c r="U26" s="215">
        <f t="shared" si="12"/>
        <v>11517</v>
      </c>
      <c r="V26" s="177"/>
      <c r="W26" s="177"/>
      <c r="X26" s="177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</row>
    <row r="27" spans="1:38" ht="12">
      <c r="A27" s="245" t="s">
        <v>115</v>
      </c>
      <c r="B27" s="215">
        <f aca="true" t="shared" si="13" ref="B27:U27">B52+B77</f>
        <v>0</v>
      </c>
      <c r="C27" s="215">
        <f t="shared" si="13"/>
        <v>29</v>
      </c>
      <c r="D27" s="215">
        <f t="shared" si="13"/>
        <v>0</v>
      </c>
      <c r="E27" s="215">
        <f t="shared" si="13"/>
        <v>0</v>
      </c>
      <c r="F27" s="215">
        <f t="shared" si="13"/>
        <v>0</v>
      </c>
      <c r="G27" s="215">
        <f t="shared" si="13"/>
        <v>446</v>
      </c>
      <c r="H27" s="215">
        <f t="shared" si="13"/>
        <v>1528</v>
      </c>
      <c r="I27" s="215">
        <f t="shared" si="13"/>
        <v>492</v>
      </c>
      <c r="J27" s="215">
        <f t="shared" si="13"/>
        <v>0</v>
      </c>
      <c r="K27" s="215">
        <f t="shared" si="13"/>
        <v>0</v>
      </c>
      <c r="L27" s="215">
        <f t="shared" si="13"/>
        <v>673</v>
      </c>
      <c r="M27" s="215">
        <f t="shared" si="13"/>
        <v>333</v>
      </c>
      <c r="N27" s="215">
        <f t="shared" si="13"/>
        <v>0</v>
      </c>
      <c r="O27" s="215">
        <f t="shared" si="13"/>
        <v>0</v>
      </c>
      <c r="P27" s="215">
        <f t="shared" si="13"/>
        <v>0</v>
      </c>
      <c r="Q27" s="215">
        <f t="shared" si="13"/>
        <v>0</v>
      </c>
      <c r="R27" s="215">
        <f t="shared" si="13"/>
        <v>0</v>
      </c>
      <c r="S27" s="215">
        <f t="shared" si="13"/>
        <v>0</v>
      </c>
      <c r="T27" s="215">
        <f t="shared" si="13"/>
        <v>0</v>
      </c>
      <c r="U27" s="215">
        <f t="shared" si="13"/>
        <v>3501</v>
      </c>
      <c r="V27" s="150"/>
      <c r="W27" s="150"/>
      <c r="X27" s="150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</row>
    <row r="28" spans="1:66" ht="12">
      <c r="A28" s="245" t="s">
        <v>107</v>
      </c>
      <c r="B28" s="215">
        <f>B26+B27</f>
        <v>0</v>
      </c>
      <c r="C28" s="215">
        <f aca="true" t="shared" si="14" ref="C28:T28">C26+C27</f>
        <v>596</v>
      </c>
      <c r="D28" s="215">
        <f t="shared" si="14"/>
        <v>0</v>
      </c>
      <c r="E28" s="215">
        <f t="shared" si="14"/>
        <v>0</v>
      </c>
      <c r="F28" s="215">
        <f t="shared" si="14"/>
        <v>0</v>
      </c>
      <c r="G28" s="215">
        <f t="shared" si="14"/>
        <v>2573</v>
      </c>
      <c r="H28" s="215">
        <f t="shared" si="14"/>
        <v>6278</v>
      </c>
      <c r="I28" s="215">
        <f t="shared" si="14"/>
        <v>1163</v>
      </c>
      <c r="J28" s="215">
        <f t="shared" si="14"/>
        <v>0</v>
      </c>
      <c r="K28" s="215">
        <f t="shared" si="14"/>
        <v>0</v>
      </c>
      <c r="L28" s="215">
        <f t="shared" si="14"/>
        <v>3035</v>
      </c>
      <c r="M28" s="215">
        <f t="shared" si="14"/>
        <v>1080</v>
      </c>
      <c r="N28" s="215">
        <f t="shared" si="14"/>
        <v>0</v>
      </c>
      <c r="O28" s="215">
        <f t="shared" si="14"/>
        <v>293</v>
      </c>
      <c r="P28" s="215">
        <f t="shared" si="14"/>
        <v>0</v>
      </c>
      <c r="Q28" s="215">
        <f t="shared" si="14"/>
        <v>0</v>
      </c>
      <c r="R28" s="215">
        <f t="shared" si="14"/>
        <v>0</v>
      </c>
      <c r="S28" s="215">
        <f t="shared" si="14"/>
        <v>0</v>
      </c>
      <c r="T28" s="215">
        <f t="shared" si="14"/>
        <v>0</v>
      </c>
      <c r="U28" s="217">
        <f>+U26+U27</f>
        <v>15018</v>
      </c>
      <c r="V28" s="158"/>
      <c r="W28" s="150"/>
      <c r="X28" s="150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  <c r="BG28" s="246"/>
      <c r="BH28" s="246"/>
      <c r="BI28" s="246"/>
      <c r="BJ28" s="246"/>
      <c r="BK28" s="246"/>
      <c r="BL28" s="246"/>
      <c r="BM28" s="246"/>
      <c r="BN28" s="246"/>
    </row>
    <row r="29" spans="1:38" ht="12">
      <c r="A29" s="244" t="s">
        <v>112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51"/>
      <c r="V29" s="150"/>
      <c r="W29" s="150"/>
      <c r="X29" s="150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</row>
    <row r="30" spans="1:24" ht="12">
      <c r="A30" s="245" t="s">
        <v>105</v>
      </c>
      <c r="B30" s="223">
        <f>+B26+B22+B18+B14+B10</f>
        <v>1383</v>
      </c>
      <c r="C30" s="223">
        <f aca="true" t="shared" si="15" ref="C30:T31">+C26+C22+C18+C14+C10</f>
        <v>681</v>
      </c>
      <c r="D30" s="223">
        <f t="shared" si="15"/>
        <v>617</v>
      </c>
      <c r="E30" s="223">
        <f t="shared" si="15"/>
        <v>598</v>
      </c>
      <c r="F30" s="223">
        <f t="shared" si="15"/>
        <v>5696</v>
      </c>
      <c r="G30" s="223">
        <f t="shared" si="15"/>
        <v>2809</v>
      </c>
      <c r="H30" s="223">
        <f t="shared" si="15"/>
        <v>5546</v>
      </c>
      <c r="I30" s="223">
        <f t="shared" si="15"/>
        <v>7543</v>
      </c>
      <c r="J30" s="223">
        <f t="shared" si="15"/>
        <v>8567</v>
      </c>
      <c r="K30" s="223">
        <f t="shared" si="15"/>
        <v>2306</v>
      </c>
      <c r="L30" s="223">
        <f t="shared" si="15"/>
        <v>5076</v>
      </c>
      <c r="M30" s="223">
        <f t="shared" si="15"/>
        <v>907</v>
      </c>
      <c r="N30" s="223">
        <f t="shared" si="15"/>
        <v>1402</v>
      </c>
      <c r="O30" s="223">
        <f t="shared" si="15"/>
        <v>3489</v>
      </c>
      <c r="P30" s="223">
        <f t="shared" si="15"/>
        <v>4393</v>
      </c>
      <c r="Q30" s="223">
        <f t="shared" si="15"/>
        <v>1347</v>
      </c>
      <c r="R30" s="223">
        <f t="shared" si="15"/>
        <v>4896</v>
      </c>
      <c r="S30" s="223">
        <f t="shared" si="15"/>
        <v>789</v>
      </c>
      <c r="T30" s="223">
        <f t="shared" si="15"/>
        <v>755</v>
      </c>
      <c r="U30" s="223">
        <f>+U26+U22+U18+U14+U10</f>
        <v>58800</v>
      </c>
      <c r="V30" s="181"/>
      <c r="W30" s="181"/>
      <c r="X30" s="181"/>
    </row>
    <row r="31" spans="1:24" ht="12">
      <c r="A31" s="245" t="s">
        <v>115</v>
      </c>
      <c r="B31" s="223">
        <f>+B27+B23+B19+B15+B11</f>
        <v>458</v>
      </c>
      <c r="C31" s="223">
        <f t="shared" si="15"/>
        <v>61</v>
      </c>
      <c r="D31" s="223">
        <f t="shared" si="15"/>
        <v>89</v>
      </c>
      <c r="E31" s="223">
        <f t="shared" si="15"/>
        <v>371</v>
      </c>
      <c r="F31" s="223">
        <f t="shared" si="15"/>
        <v>2575</v>
      </c>
      <c r="G31" s="223">
        <f t="shared" si="15"/>
        <v>635</v>
      </c>
      <c r="H31" s="223">
        <f t="shared" si="15"/>
        <v>2809</v>
      </c>
      <c r="I31" s="223">
        <f t="shared" si="15"/>
        <v>4213</v>
      </c>
      <c r="J31" s="223">
        <f t="shared" si="15"/>
        <v>3977</v>
      </c>
      <c r="K31" s="223">
        <f t="shared" si="15"/>
        <v>1011</v>
      </c>
      <c r="L31" s="223">
        <f t="shared" si="15"/>
        <v>1422</v>
      </c>
      <c r="M31" s="223">
        <f t="shared" si="15"/>
        <v>427</v>
      </c>
      <c r="N31" s="223">
        <f t="shared" si="15"/>
        <v>421</v>
      </c>
      <c r="O31" s="223">
        <f t="shared" si="15"/>
        <v>1872</v>
      </c>
      <c r="P31" s="223">
        <f t="shared" si="15"/>
        <v>1660</v>
      </c>
      <c r="Q31" s="223">
        <f t="shared" si="15"/>
        <v>171</v>
      </c>
      <c r="R31" s="223">
        <f t="shared" si="15"/>
        <v>1862</v>
      </c>
      <c r="S31" s="223">
        <f t="shared" si="15"/>
        <v>217</v>
      </c>
      <c r="T31" s="223">
        <f t="shared" si="15"/>
        <v>55</v>
      </c>
      <c r="U31" s="223">
        <f>+U27+U23+U19+U15+U11</f>
        <v>24306</v>
      </c>
      <c r="V31" s="181"/>
      <c r="W31" s="181"/>
      <c r="X31" s="181"/>
    </row>
    <row r="32" spans="1:66" ht="12">
      <c r="A32" s="245" t="s">
        <v>107</v>
      </c>
      <c r="B32" s="217">
        <f aca="true" t="shared" si="16" ref="B32:U32">+B30+B31</f>
        <v>1841</v>
      </c>
      <c r="C32" s="217">
        <f t="shared" si="16"/>
        <v>742</v>
      </c>
      <c r="D32" s="217">
        <f t="shared" si="16"/>
        <v>706</v>
      </c>
      <c r="E32" s="217">
        <f t="shared" si="16"/>
        <v>969</v>
      </c>
      <c r="F32" s="217">
        <f t="shared" si="16"/>
        <v>8271</v>
      </c>
      <c r="G32" s="217">
        <f t="shared" si="16"/>
        <v>3444</v>
      </c>
      <c r="H32" s="217">
        <f t="shared" si="16"/>
        <v>8355</v>
      </c>
      <c r="I32" s="217">
        <f t="shared" si="16"/>
        <v>11756</v>
      </c>
      <c r="J32" s="217">
        <f t="shared" si="16"/>
        <v>12544</v>
      </c>
      <c r="K32" s="217">
        <f t="shared" si="16"/>
        <v>3317</v>
      </c>
      <c r="L32" s="217">
        <f t="shared" si="16"/>
        <v>6498</v>
      </c>
      <c r="M32" s="217">
        <f t="shared" si="16"/>
        <v>1334</v>
      </c>
      <c r="N32" s="217">
        <f t="shared" si="16"/>
        <v>1823</v>
      </c>
      <c r="O32" s="217">
        <f t="shared" si="16"/>
        <v>5361</v>
      </c>
      <c r="P32" s="217">
        <f t="shared" si="16"/>
        <v>6053</v>
      </c>
      <c r="Q32" s="217">
        <f t="shared" si="16"/>
        <v>1518</v>
      </c>
      <c r="R32" s="217">
        <f t="shared" si="16"/>
        <v>6758</v>
      </c>
      <c r="S32" s="217">
        <f t="shared" si="16"/>
        <v>1006</v>
      </c>
      <c r="T32" s="217">
        <f t="shared" si="16"/>
        <v>810</v>
      </c>
      <c r="U32" s="217">
        <f t="shared" si="16"/>
        <v>83106</v>
      </c>
      <c r="V32" s="158"/>
      <c r="W32" s="150"/>
      <c r="X32" s="150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</row>
    <row r="33" spans="2:21" s="135" customFormat="1" ht="12">
      <c r="B33" s="218"/>
      <c r="C33" s="218"/>
      <c r="E33" s="218"/>
      <c r="F33" s="218"/>
      <c r="G33" s="218"/>
      <c r="H33" s="218"/>
      <c r="I33" s="218"/>
      <c r="J33" s="218"/>
      <c r="K33" s="218" t="s">
        <v>114</v>
      </c>
      <c r="L33" s="218"/>
      <c r="M33" s="218"/>
      <c r="N33" s="218"/>
      <c r="O33" s="218"/>
      <c r="P33" s="252"/>
      <c r="Q33" s="218"/>
      <c r="R33" s="218"/>
      <c r="S33" s="218"/>
      <c r="T33" s="218"/>
      <c r="U33" s="218"/>
    </row>
    <row r="34" spans="1:66" s="120" customFormat="1" ht="12">
      <c r="A34" s="244" t="s">
        <v>104</v>
      </c>
      <c r="B34" s="215"/>
      <c r="C34" s="215"/>
      <c r="D34" s="169"/>
      <c r="E34" s="169"/>
      <c r="F34" s="169"/>
      <c r="G34" s="169"/>
      <c r="H34" s="215"/>
      <c r="I34" s="169"/>
      <c r="J34" s="169"/>
      <c r="K34" s="215"/>
      <c r="L34" s="169"/>
      <c r="M34" s="169"/>
      <c r="N34" s="169"/>
      <c r="O34" s="169"/>
      <c r="P34" s="169"/>
      <c r="Q34" s="169"/>
      <c r="R34" s="215"/>
      <c r="S34" s="215"/>
      <c r="T34" s="215"/>
      <c r="U34" s="172"/>
      <c r="V34" s="150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</row>
    <row r="35" spans="1:66" ht="12">
      <c r="A35" s="245" t="s">
        <v>105</v>
      </c>
      <c r="B35" s="215">
        <v>0</v>
      </c>
      <c r="C35" s="219"/>
      <c r="D35" s="219">
        <v>0</v>
      </c>
      <c r="E35" s="219">
        <v>0</v>
      </c>
      <c r="F35" s="169"/>
      <c r="G35" s="253">
        <v>1</v>
      </c>
      <c r="H35" s="253">
        <v>1</v>
      </c>
      <c r="I35" s="169"/>
      <c r="J35" s="253"/>
      <c r="K35" s="253"/>
      <c r="L35" s="253"/>
      <c r="M35" s="253"/>
      <c r="N35" s="169"/>
      <c r="O35" s="169">
        <v>40</v>
      </c>
      <c r="P35" s="253"/>
      <c r="Q35" s="253">
        <v>0</v>
      </c>
      <c r="R35" s="215"/>
      <c r="S35" s="215"/>
      <c r="T35" s="253"/>
      <c r="U35" s="172">
        <f>SUM(B35:T35)</f>
        <v>42</v>
      </c>
      <c r="V35" s="150"/>
      <c r="W35" s="150"/>
      <c r="X35" s="150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/>
      <c r="BL35" s="246"/>
      <c r="BM35" s="246"/>
      <c r="BN35" s="246"/>
    </row>
    <row r="36" spans="1:66" ht="12">
      <c r="A36" s="245" t="s">
        <v>115</v>
      </c>
      <c r="B36" s="215">
        <v>35</v>
      </c>
      <c r="C36" s="219">
        <v>0</v>
      </c>
      <c r="D36" s="219">
        <v>5</v>
      </c>
      <c r="E36" s="219">
        <v>22</v>
      </c>
      <c r="F36" s="169">
        <v>106</v>
      </c>
      <c r="G36" s="253">
        <v>19</v>
      </c>
      <c r="H36" s="169">
        <v>306</v>
      </c>
      <c r="I36" s="169">
        <v>357</v>
      </c>
      <c r="J36" s="169">
        <v>292</v>
      </c>
      <c r="K36" s="253">
        <v>9</v>
      </c>
      <c r="L36" s="253">
        <v>66</v>
      </c>
      <c r="M36" s="253">
        <v>8</v>
      </c>
      <c r="N36" s="169">
        <v>14</v>
      </c>
      <c r="O36" s="253">
        <v>56</v>
      </c>
      <c r="P36" s="169">
        <v>89</v>
      </c>
      <c r="Q36" s="253">
        <v>30</v>
      </c>
      <c r="R36" s="215">
        <v>138</v>
      </c>
      <c r="S36" s="215">
        <v>8</v>
      </c>
      <c r="T36" s="253">
        <v>1</v>
      </c>
      <c r="U36" s="172">
        <f>SUM(B36:T36)</f>
        <v>1561</v>
      </c>
      <c r="V36" s="150"/>
      <c r="W36" s="150"/>
      <c r="X36" s="150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/>
      <c r="BK36" s="246"/>
      <c r="BL36" s="246"/>
      <c r="BM36" s="246"/>
      <c r="BN36" s="246"/>
    </row>
    <row r="37" spans="1:66" ht="12">
      <c r="A37" s="245" t="s">
        <v>107</v>
      </c>
      <c r="B37" s="217">
        <f aca="true" t="shared" si="17" ref="B37:U37">+B35+B36</f>
        <v>35</v>
      </c>
      <c r="C37" s="217">
        <f t="shared" si="17"/>
        <v>0</v>
      </c>
      <c r="D37" s="217">
        <f t="shared" si="17"/>
        <v>5</v>
      </c>
      <c r="E37" s="217">
        <f t="shared" si="17"/>
        <v>22</v>
      </c>
      <c r="F37" s="217">
        <f t="shared" si="17"/>
        <v>106</v>
      </c>
      <c r="G37" s="217">
        <f t="shared" si="17"/>
        <v>20</v>
      </c>
      <c r="H37" s="217">
        <f t="shared" si="17"/>
        <v>307</v>
      </c>
      <c r="I37" s="217">
        <f t="shared" si="17"/>
        <v>357</v>
      </c>
      <c r="J37" s="217">
        <f t="shared" si="17"/>
        <v>292</v>
      </c>
      <c r="K37" s="217">
        <f t="shared" si="17"/>
        <v>9</v>
      </c>
      <c r="L37" s="217">
        <f t="shared" si="17"/>
        <v>66</v>
      </c>
      <c r="M37" s="217">
        <f t="shared" si="17"/>
        <v>8</v>
      </c>
      <c r="N37" s="217">
        <f t="shared" si="17"/>
        <v>14</v>
      </c>
      <c r="O37" s="217">
        <f t="shared" si="17"/>
        <v>96</v>
      </c>
      <c r="P37" s="217">
        <f t="shared" si="17"/>
        <v>89</v>
      </c>
      <c r="Q37" s="217">
        <f t="shared" si="17"/>
        <v>30</v>
      </c>
      <c r="R37" s="217">
        <f t="shared" si="17"/>
        <v>138</v>
      </c>
      <c r="S37" s="217">
        <f t="shared" si="17"/>
        <v>8</v>
      </c>
      <c r="T37" s="217">
        <f t="shared" si="17"/>
        <v>1</v>
      </c>
      <c r="U37" s="217">
        <f t="shared" si="17"/>
        <v>1603</v>
      </c>
      <c r="V37" s="158"/>
      <c r="W37" s="150"/>
      <c r="X37" s="150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  <c r="BC37" s="246"/>
      <c r="BD37" s="246"/>
      <c r="BE37" s="246"/>
      <c r="BF37" s="246"/>
      <c r="BG37" s="246"/>
      <c r="BH37" s="246"/>
      <c r="BI37" s="246"/>
      <c r="BJ37" s="246"/>
      <c r="BK37" s="246"/>
      <c r="BL37" s="246"/>
      <c r="BM37" s="246"/>
      <c r="BN37" s="246"/>
    </row>
    <row r="38" spans="1:66" ht="12">
      <c r="A38" s="244" t="s">
        <v>108</v>
      </c>
      <c r="B38" s="215"/>
      <c r="C38" s="169"/>
      <c r="D38" s="169"/>
      <c r="E38" s="169"/>
      <c r="F38" s="169"/>
      <c r="G38" s="169"/>
      <c r="H38" s="215"/>
      <c r="I38" s="169"/>
      <c r="J38" s="169"/>
      <c r="K38" s="215"/>
      <c r="L38" s="169"/>
      <c r="M38" s="169"/>
      <c r="N38" s="169"/>
      <c r="O38" s="169"/>
      <c r="P38" s="169"/>
      <c r="Q38" s="169"/>
      <c r="R38" s="215"/>
      <c r="S38" s="215"/>
      <c r="T38" s="215"/>
      <c r="U38" s="172"/>
      <c r="V38" s="158"/>
      <c r="W38" s="150"/>
      <c r="X38" s="150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246"/>
      <c r="BA38" s="246"/>
      <c r="BB38" s="246"/>
      <c r="BC38" s="246"/>
      <c r="BD38" s="246"/>
      <c r="BE38" s="246"/>
      <c r="BF38" s="246"/>
      <c r="BG38" s="246"/>
      <c r="BH38" s="246"/>
      <c r="BI38" s="246"/>
      <c r="BJ38" s="246"/>
      <c r="BK38" s="246"/>
      <c r="BL38" s="246"/>
      <c r="BM38" s="246"/>
      <c r="BN38" s="246"/>
    </row>
    <row r="39" spans="1:66" ht="12">
      <c r="A39" s="245" t="s">
        <v>105</v>
      </c>
      <c r="B39" s="215"/>
      <c r="C39" s="219"/>
      <c r="D39" s="219"/>
      <c r="E39" s="219"/>
      <c r="F39" s="169"/>
      <c r="G39" s="253"/>
      <c r="H39" s="253"/>
      <c r="I39" s="169"/>
      <c r="J39" s="253"/>
      <c r="K39" s="253"/>
      <c r="L39" s="253"/>
      <c r="M39" s="253"/>
      <c r="N39" s="169"/>
      <c r="O39" s="169"/>
      <c r="P39" s="253"/>
      <c r="Q39" s="253"/>
      <c r="R39" s="215"/>
      <c r="S39" s="215"/>
      <c r="T39" s="253"/>
      <c r="U39" s="172">
        <f>SUM(B39:T39)</f>
        <v>0</v>
      </c>
      <c r="V39" s="158"/>
      <c r="W39" s="150"/>
      <c r="X39" s="150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  <c r="BA39" s="246"/>
      <c r="BB39" s="246"/>
      <c r="BC39" s="246"/>
      <c r="BD39" s="246"/>
      <c r="BE39" s="246"/>
      <c r="BF39" s="246"/>
      <c r="BG39" s="246"/>
      <c r="BH39" s="246"/>
      <c r="BI39" s="246"/>
      <c r="BJ39" s="246"/>
      <c r="BK39" s="246"/>
      <c r="BL39" s="246"/>
      <c r="BM39" s="246"/>
      <c r="BN39" s="246"/>
    </row>
    <row r="40" spans="1:66" s="248" customFormat="1" ht="12">
      <c r="A40" s="245" t="s">
        <v>115</v>
      </c>
      <c r="B40" s="215">
        <v>1</v>
      </c>
      <c r="C40" s="219"/>
      <c r="D40" s="219"/>
      <c r="E40" s="219">
        <v>0</v>
      </c>
      <c r="F40" s="169">
        <v>0</v>
      </c>
      <c r="G40" s="253"/>
      <c r="H40" s="169"/>
      <c r="I40" s="169">
        <v>2</v>
      </c>
      <c r="J40" s="169"/>
      <c r="K40" s="253"/>
      <c r="L40" s="253">
        <v>1</v>
      </c>
      <c r="M40" s="253">
        <v>0</v>
      </c>
      <c r="N40" s="169"/>
      <c r="O40" s="253">
        <v>0</v>
      </c>
      <c r="P40" s="169"/>
      <c r="Q40" s="253"/>
      <c r="R40" s="215">
        <v>0</v>
      </c>
      <c r="S40" s="215">
        <v>0</v>
      </c>
      <c r="T40" s="253"/>
      <c r="U40" s="172">
        <f>SUM(B40:T40)</f>
        <v>4</v>
      </c>
      <c r="V40" s="164"/>
      <c r="W40" s="150"/>
      <c r="X40" s="150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7"/>
      <c r="AS40" s="247"/>
      <c r="AT40" s="247"/>
      <c r="AU40" s="247"/>
      <c r="AV40" s="247"/>
      <c r="AW40" s="247"/>
      <c r="AX40" s="247"/>
      <c r="AY40" s="247"/>
      <c r="AZ40" s="247"/>
      <c r="BA40" s="247"/>
      <c r="BB40" s="247"/>
      <c r="BC40" s="247"/>
      <c r="BD40" s="247"/>
      <c r="BE40" s="247"/>
      <c r="BF40" s="247"/>
      <c r="BG40" s="247"/>
      <c r="BH40" s="247"/>
      <c r="BI40" s="247"/>
      <c r="BJ40" s="247"/>
      <c r="BK40" s="247"/>
      <c r="BL40" s="247"/>
      <c r="BM40" s="247"/>
      <c r="BN40" s="247"/>
    </row>
    <row r="41" spans="1:66" ht="12">
      <c r="A41" s="245" t="s">
        <v>107</v>
      </c>
      <c r="B41" s="217">
        <f aca="true" t="shared" si="18" ref="B41:U41">+B39+B40</f>
        <v>1</v>
      </c>
      <c r="C41" s="217">
        <f t="shared" si="18"/>
        <v>0</v>
      </c>
      <c r="D41" s="217">
        <f t="shared" si="18"/>
        <v>0</v>
      </c>
      <c r="E41" s="217">
        <f t="shared" si="18"/>
        <v>0</v>
      </c>
      <c r="F41" s="217">
        <f t="shared" si="18"/>
        <v>0</v>
      </c>
      <c r="G41" s="217">
        <f t="shared" si="18"/>
        <v>0</v>
      </c>
      <c r="H41" s="217">
        <f t="shared" si="18"/>
        <v>0</v>
      </c>
      <c r="I41" s="217">
        <f t="shared" si="18"/>
        <v>2</v>
      </c>
      <c r="J41" s="217">
        <f t="shared" si="18"/>
        <v>0</v>
      </c>
      <c r="K41" s="217">
        <f t="shared" si="18"/>
        <v>0</v>
      </c>
      <c r="L41" s="217">
        <f t="shared" si="18"/>
        <v>1</v>
      </c>
      <c r="M41" s="217">
        <f t="shared" si="18"/>
        <v>0</v>
      </c>
      <c r="N41" s="217">
        <f t="shared" si="18"/>
        <v>0</v>
      </c>
      <c r="O41" s="217">
        <f t="shared" si="18"/>
        <v>0</v>
      </c>
      <c r="P41" s="217">
        <f t="shared" si="18"/>
        <v>0</v>
      </c>
      <c r="Q41" s="217">
        <f t="shared" si="18"/>
        <v>0</v>
      </c>
      <c r="R41" s="217">
        <f t="shared" si="18"/>
        <v>0</v>
      </c>
      <c r="S41" s="217">
        <f t="shared" si="18"/>
        <v>0</v>
      </c>
      <c r="T41" s="217">
        <f t="shared" si="18"/>
        <v>0</v>
      </c>
      <c r="U41" s="217">
        <f t="shared" si="18"/>
        <v>4</v>
      </c>
      <c r="V41" s="158"/>
      <c r="W41" s="150"/>
      <c r="X41" s="150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6"/>
      <c r="BK41" s="246"/>
      <c r="BL41" s="246"/>
      <c r="BM41" s="246"/>
      <c r="BN41" s="246"/>
    </row>
    <row r="42" spans="1:66" s="250" customFormat="1" ht="12">
      <c r="A42" s="244" t="s">
        <v>109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9"/>
      <c r="S42" s="163"/>
      <c r="T42" s="163"/>
      <c r="U42" s="172"/>
      <c r="V42" s="164"/>
      <c r="W42" s="150"/>
      <c r="X42" s="150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49"/>
      <c r="AT42" s="249"/>
      <c r="AU42" s="249"/>
      <c r="AV42" s="249"/>
      <c r="AW42" s="249"/>
      <c r="AX42" s="249"/>
      <c r="AY42" s="249"/>
      <c r="AZ42" s="249"/>
      <c r="BA42" s="249"/>
      <c r="BB42" s="249"/>
      <c r="BC42" s="249"/>
      <c r="BD42" s="249"/>
      <c r="BE42" s="249"/>
      <c r="BF42" s="249"/>
      <c r="BG42" s="249"/>
      <c r="BH42" s="249"/>
      <c r="BI42" s="249"/>
      <c r="BJ42" s="249"/>
      <c r="BK42" s="249"/>
      <c r="BL42" s="249"/>
      <c r="BM42" s="249"/>
      <c r="BN42" s="249"/>
    </row>
    <row r="43" spans="1:66" ht="13.5" customHeight="1">
      <c r="A43" s="245" t="s">
        <v>105</v>
      </c>
      <c r="B43" s="215">
        <v>693</v>
      </c>
      <c r="C43" s="219">
        <v>64</v>
      </c>
      <c r="D43" s="219">
        <v>286</v>
      </c>
      <c r="E43" s="219">
        <v>108</v>
      </c>
      <c r="F43" s="169">
        <v>2138</v>
      </c>
      <c r="G43" s="253">
        <v>141</v>
      </c>
      <c r="H43" s="253">
        <v>304</v>
      </c>
      <c r="I43" s="169">
        <v>3729</v>
      </c>
      <c r="J43" s="253">
        <v>2349</v>
      </c>
      <c r="K43" s="253">
        <v>378</v>
      </c>
      <c r="L43" s="253">
        <v>823</v>
      </c>
      <c r="M43" s="253">
        <v>38</v>
      </c>
      <c r="N43" s="169">
        <v>215</v>
      </c>
      <c r="O43" s="169">
        <v>242</v>
      </c>
      <c r="P43" s="254">
        <v>1813</v>
      </c>
      <c r="Q43" s="253">
        <v>785</v>
      </c>
      <c r="R43" s="215">
        <v>1394</v>
      </c>
      <c r="S43" s="215">
        <v>298</v>
      </c>
      <c r="T43" s="253">
        <v>76</v>
      </c>
      <c r="U43" s="172">
        <f>SUM(B43:T43)</f>
        <v>15874</v>
      </c>
      <c r="V43" s="167"/>
      <c r="W43" s="167"/>
      <c r="X43" s="167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246"/>
      <c r="BG43" s="246"/>
      <c r="BH43" s="246"/>
      <c r="BI43" s="246"/>
      <c r="BJ43" s="246"/>
      <c r="BK43" s="246"/>
      <c r="BL43" s="246"/>
      <c r="BM43" s="246"/>
      <c r="BN43" s="246"/>
    </row>
    <row r="44" spans="1:38" ht="12">
      <c r="A44" s="245" t="s">
        <v>115</v>
      </c>
      <c r="B44" s="215">
        <v>248</v>
      </c>
      <c r="C44" s="219">
        <v>20</v>
      </c>
      <c r="D44" s="219">
        <v>55</v>
      </c>
      <c r="E44" s="219">
        <v>65</v>
      </c>
      <c r="F44" s="169">
        <v>1151</v>
      </c>
      <c r="G44" s="253">
        <v>33</v>
      </c>
      <c r="H44" s="169">
        <v>187</v>
      </c>
      <c r="I44" s="169">
        <v>1847</v>
      </c>
      <c r="J44" s="169">
        <v>947</v>
      </c>
      <c r="K44" s="253">
        <v>167</v>
      </c>
      <c r="L44" s="253">
        <v>249</v>
      </c>
      <c r="M44" s="253">
        <v>25</v>
      </c>
      <c r="N44" s="169">
        <v>65</v>
      </c>
      <c r="O44" s="253">
        <v>146</v>
      </c>
      <c r="P44" s="169">
        <v>725</v>
      </c>
      <c r="Q44" s="253">
        <v>73</v>
      </c>
      <c r="R44" s="215">
        <v>520</v>
      </c>
      <c r="S44" s="215">
        <v>62</v>
      </c>
      <c r="T44" s="253">
        <v>9</v>
      </c>
      <c r="U44" s="172">
        <f>SUM(B44:T44)</f>
        <v>6594</v>
      </c>
      <c r="V44" s="167"/>
      <c r="W44" s="167"/>
      <c r="X44" s="167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</row>
    <row r="45" spans="1:66" ht="12">
      <c r="A45" s="245" t="s">
        <v>107</v>
      </c>
      <c r="B45" s="217">
        <f aca="true" t="shared" si="19" ref="B45:U45">+B43+B44</f>
        <v>941</v>
      </c>
      <c r="C45" s="217">
        <f t="shared" si="19"/>
        <v>84</v>
      </c>
      <c r="D45" s="217">
        <f t="shared" si="19"/>
        <v>341</v>
      </c>
      <c r="E45" s="217">
        <f t="shared" si="19"/>
        <v>173</v>
      </c>
      <c r="F45" s="217">
        <f t="shared" si="19"/>
        <v>3289</v>
      </c>
      <c r="G45" s="217">
        <f t="shared" si="19"/>
        <v>174</v>
      </c>
      <c r="H45" s="217">
        <f t="shared" si="19"/>
        <v>491</v>
      </c>
      <c r="I45" s="217">
        <f t="shared" si="19"/>
        <v>5576</v>
      </c>
      <c r="J45" s="217">
        <f t="shared" si="19"/>
        <v>3296</v>
      </c>
      <c r="K45" s="217">
        <f t="shared" si="19"/>
        <v>545</v>
      </c>
      <c r="L45" s="217">
        <f t="shared" si="19"/>
        <v>1072</v>
      </c>
      <c r="M45" s="217">
        <f t="shared" si="19"/>
        <v>63</v>
      </c>
      <c r="N45" s="217">
        <f t="shared" si="19"/>
        <v>280</v>
      </c>
      <c r="O45" s="217">
        <f t="shared" si="19"/>
        <v>388</v>
      </c>
      <c r="P45" s="217">
        <f t="shared" si="19"/>
        <v>2538</v>
      </c>
      <c r="Q45" s="217">
        <f t="shared" si="19"/>
        <v>858</v>
      </c>
      <c r="R45" s="217">
        <f t="shared" si="19"/>
        <v>1914</v>
      </c>
      <c r="S45" s="217">
        <f t="shared" si="19"/>
        <v>360</v>
      </c>
      <c r="T45" s="217">
        <f t="shared" si="19"/>
        <v>85</v>
      </c>
      <c r="U45" s="217">
        <f t="shared" si="19"/>
        <v>22468</v>
      </c>
      <c r="V45" s="158"/>
      <c r="W45" s="150"/>
      <c r="X45" s="150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</row>
    <row r="46" spans="1:38" ht="24">
      <c r="A46" s="244" t="s">
        <v>117</v>
      </c>
      <c r="B46" s="169"/>
      <c r="C46" s="170"/>
      <c r="D46" s="170"/>
      <c r="E46" s="170"/>
      <c r="F46" s="169"/>
      <c r="G46" s="169"/>
      <c r="H46" s="171"/>
      <c r="I46" s="169"/>
      <c r="J46" s="172"/>
      <c r="K46" s="170"/>
      <c r="L46" s="172"/>
      <c r="M46" s="172"/>
      <c r="N46" s="170"/>
      <c r="O46" s="169"/>
      <c r="P46" s="172"/>
      <c r="Q46" s="170"/>
      <c r="R46" s="169"/>
      <c r="S46" s="169"/>
      <c r="T46" s="169"/>
      <c r="U46" s="172"/>
      <c r="V46" s="171"/>
      <c r="W46" s="171"/>
      <c r="X46" s="171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</row>
    <row r="47" spans="1:38" ht="12">
      <c r="A47" s="245" t="s">
        <v>105</v>
      </c>
      <c r="B47" s="215">
        <v>110</v>
      </c>
      <c r="C47" s="219"/>
      <c r="D47" s="219">
        <v>109</v>
      </c>
      <c r="E47" s="219">
        <v>54</v>
      </c>
      <c r="F47" s="169">
        <v>661</v>
      </c>
      <c r="G47" s="253">
        <v>24</v>
      </c>
      <c r="H47" s="169">
        <v>0</v>
      </c>
      <c r="I47" s="169">
        <v>1345</v>
      </c>
      <c r="J47" s="253">
        <v>789</v>
      </c>
      <c r="K47" s="253">
        <v>53</v>
      </c>
      <c r="L47" s="253">
        <v>26</v>
      </c>
      <c r="M47" s="253">
        <v>30</v>
      </c>
      <c r="N47" s="169">
        <v>109</v>
      </c>
      <c r="O47" s="169">
        <v>66</v>
      </c>
      <c r="P47" s="253">
        <v>602</v>
      </c>
      <c r="Q47" s="253">
        <v>143</v>
      </c>
      <c r="R47" s="215">
        <v>428</v>
      </c>
      <c r="S47" s="215">
        <v>105</v>
      </c>
      <c r="T47" s="253">
        <v>30</v>
      </c>
      <c r="U47" s="172">
        <f>SUM(B47:T47)</f>
        <v>4684</v>
      </c>
      <c r="V47" s="150"/>
      <c r="W47" s="150"/>
      <c r="X47" s="150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</row>
    <row r="48" spans="1:38" ht="12">
      <c r="A48" s="245" t="s">
        <v>115</v>
      </c>
      <c r="B48" s="215">
        <v>32</v>
      </c>
      <c r="C48" s="219"/>
      <c r="D48" s="219">
        <v>10</v>
      </c>
      <c r="E48" s="219">
        <v>13</v>
      </c>
      <c r="F48" s="169">
        <v>136</v>
      </c>
      <c r="G48" s="253">
        <v>3</v>
      </c>
      <c r="H48" s="169">
        <v>37</v>
      </c>
      <c r="I48" s="169">
        <v>765</v>
      </c>
      <c r="J48" s="169">
        <v>357</v>
      </c>
      <c r="K48" s="253">
        <v>12</v>
      </c>
      <c r="L48" s="253">
        <v>2</v>
      </c>
      <c r="M48" s="253">
        <v>12</v>
      </c>
      <c r="N48" s="169">
        <v>21</v>
      </c>
      <c r="O48" s="253">
        <v>31</v>
      </c>
      <c r="P48" s="169">
        <v>180</v>
      </c>
      <c r="Q48" s="253">
        <v>5</v>
      </c>
      <c r="R48" s="215">
        <v>140</v>
      </c>
      <c r="S48" s="215">
        <v>42</v>
      </c>
      <c r="T48" s="253">
        <v>5</v>
      </c>
      <c r="U48" s="172">
        <f>SUM(B48:T48)</f>
        <v>1803</v>
      </c>
      <c r="V48" s="164"/>
      <c r="W48" s="164"/>
      <c r="X48" s="164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</row>
    <row r="49" spans="1:66" ht="12">
      <c r="A49" s="245" t="s">
        <v>107</v>
      </c>
      <c r="B49" s="217">
        <f aca="true" t="shared" si="20" ref="B49:U49">+B47+B48</f>
        <v>142</v>
      </c>
      <c r="C49" s="217">
        <f t="shared" si="20"/>
        <v>0</v>
      </c>
      <c r="D49" s="217">
        <f t="shared" si="20"/>
        <v>119</v>
      </c>
      <c r="E49" s="217">
        <f t="shared" si="20"/>
        <v>67</v>
      </c>
      <c r="F49" s="217">
        <f t="shared" si="20"/>
        <v>797</v>
      </c>
      <c r="G49" s="217">
        <f t="shared" si="20"/>
        <v>27</v>
      </c>
      <c r="H49" s="217">
        <f t="shared" si="20"/>
        <v>37</v>
      </c>
      <c r="I49" s="217">
        <f t="shared" si="20"/>
        <v>2110</v>
      </c>
      <c r="J49" s="217">
        <f t="shared" si="20"/>
        <v>1146</v>
      </c>
      <c r="K49" s="217">
        <f t="shared" si="20"/>
        <v>65</v>
      </c>
      <c r="L49" s="217">
        <f t="shared" si="20"/>
        <v>28</v>
      </c>
      <c r="M49" s="217">
        <f t="shared" si="20"/>
        <v>42</v>
      </c>
      <c r="N49" s="217">
        <f t="shared" si="20"/>
        <v>130</v>
      </c>
      <c r="O49" s="217">
        <f t="shared" si="20"/>
        <v>97</v>
      </c>
      <c r="P49" s="217">
        <f t="shared" si="20"/>
        <v>782</v>
      </c>
      <c r="Q49" s="217">
        <f t="shared" si="20"/>
        <v>148</v>
      </c>
      <c r="R49" s="217">
        <f t="shared" si="20"/>
        <v>568</v>
      </c>
      <c r="S49" s="217">
        <f t="shared" si="20"/>
        <v>147</v>
      </c>
      <c r="T49" s="217">
        <f t="shared" si="20"/>
        <v>35</v>
      </c>
      <c r="U49" s="217">
        <f t="shared" si="20"/>
        <v>6487</v>
      </c>
      <c r="V49" s="158"/>
      <c r="W49" s="150"/>
      <c r="X49" s="150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6"/>
      <c r="AU49" s="246"/>
      <c r="AV49" s="246"/>
      <c r="AW49" s="246"/>
      <c r="AX49" s="246"/>
      <c r="AY49" s="246"/>
      <c r="AZ49" s="246"/>
      <c r="BA49" s="246"/>
      <c r="BB49" s="246"/>
      <c r="BC49" s="246"/>
      <c r="BD49" s="246"/>
      <c r="BE49" s="246"/>
      <c r="BF49" s="246"/>
      <c r="BG49" s="246"/>
      <c r="BH49" s="246"/>
      <c r="BI49" s="246"/>
      <c r="BJ49" s="246"/>
      <c r="BK49" s="246"/>
      <c r="BL49" s="246"/>
      <c r="BM49" s="246"/>
      <c r="BN49" s="246"/>
    </row>
    <row r="50" spans="1:66" ht="12">
      <c r="A50" s="244" t="s">
        <v>111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72"/>
      <c r="V50" s="158"/>
      <c r="W50" s="150"/>
      <c r="X50" s="150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  <c r="AZ50" s="246"/>
      <c r="BA50" s="246"/>
      <c r="BB50" s="246"/>
      <c r="BC50" s="246"/>
      <c r="BD50" s="246"/>
      <c r="BE50" s="246"/>
      <c r="BF50" s="246"/>
      <c r="BG50" s="246"/>
      <c r="BH50" s="246"/>
      <c r="BI50" s="246"/>
      <c r="BJ50" s="246"/>
      <c r="BK50" s="246"/>
      <c r="BL50" s="246"/>
      <c r="BM50" s="246"/>
      <c r="BN50" s="246"/>
    </row>
    <row r="51" spans="1:66" ht="12">
      <c r="A51" s="245" t="s">
        <v>105</v>
      </c>
      <c r="B51" s="215"/>
      <c r="C51" s="219">
        <v>253</v>
      </c>
      <c r="D51" s="219"/>
      <c r="E51" s="219"/>
      <c r="F51" s="169"/>
      <c r="G51" s="253">
        <v>569</v>
      </c>
      <c r="H51" s="254">
        <v>1869</v>
      </c>
      <c r="I51" s="169">
        <v>310</v>
      </c>
      <c r="J51" s="253"/>
      <c r="K51" s="253"/>
      <c r="L51" s="254">
        <v>1067</v>
      </c>
      <c r="M51" s="253">
        <v>214</v>
      </c>
      <c r="N51" s="169"/>
      <c r="O51" s="169">
        <v>20</v>
      </c>
      <c r="P51" s="253"/>
      <c r="Q51" s="253"/>
      <c r="R51" s="215"/>
      <c r="S51" s="215"/>
      <c r="T51" s="253"/>
      <c r="U51" s="172">
        <f>SUM(B51:T51)</f>
        <v>4302</v>
      </c>
      <c r="V51" s="158"/>
      <c r="W51" s="150"/>
      <c r="X51" s="150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  <c r="BA51" s="246"/>
      <c r="BB51" s="246"/>
      <c r="BC51" s="246"/>
      <c r="BD51" s="246"/>
      <c r="BE51" s="246"/>
      <c r="BF51" s="246"/>
      <c r="BG51" s="246"/>
      <c r="BH51" s="246"/>
      <c r="BI51" s="246"/>
      <c r="BJ51" s="246"/>
      <c r="BK51" s="246"/>
      <c r="BL51" s="246"/>
      <c r="BM51" s="246"/>
      <c r="BN51" s="246"/>
    </row>
    <row r="52" spans="1:66" ht="12">
      <c r="A52" s="245" t="s">
        <v>115</v>
      </c>
      <c r="B52" s="215"/>
      <c r="C52" s="219">
        <v>15</v>
      </c>
      <c r="D52" s="219"/>
      <c r="E52" s="219"/>
      <c r="F52" s="169"/>
      <c r="G52" s="253">
        <v>141</v>
      </c>
      <c r="H52" s="169">
        <v>598</v>
      </c>
      <c r="I52" s="169">
        <v>265</v>
      </c>
      <c r="J52" s="169"/>
      <c r="K52" s="253"/>
      <c r="L52" s="253">
        <v>289</v>
      </c>
      <c r="M52" s="253">
        <v>98</v>
      </c>
      <c r="N52" s="169"/>
      <c r="O52" s="253"/>
      <c r="P52" s="169"/>
      <c r="Q52" s="253"/>
      <c r="R52" s="215"/>
      <c r="S52" s="215"/>
      <c r="T52" s="253"/>
      <c r="U52" s="172">
        <f>SUM(B52:T52)</f>
        <v>1406</v>
      </c>
      <c r="V52" s="158"/>
      <c r="W52" s="150"/>
      <c r="X52" s="150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246"/>
      <c r="BC52" s="246"/>
      <c r="BD52" s="246"/>
      <c r="BE52" s="246"/>
      <c r="BF52" s="246"/>
      <c r="BG52" s="246"/>
      <c r="BH52" s="246"/>
      <c r="BI52" s="246"/>
      <c r="BJ52" s="246"/>
      <c r="BK52" s="246"/>
      <c r="BL52" s="246"/>
      <c r="BM52" s="246"/>
      <c r="BN52" s="246"/>
    </row>
    <row r="53" spans="1:66" ht="12">
      <c r="A53" s="245" t="s">
        <v>107</v>
      </c>
      <c r="B53" s="217">
        <f aca="true" t="shared" si="21" ref="B53:U53">+B51+B52</f>
        <v>0</v>
      </c>
      <c r="C53" s="217">
        <f t="shared" si="21"/>
        <v>268</v>
      </c>
      <c r="D53" s="217">
        <f t="shared" si="21"/>
        <v>0</v>
      </c>
      <c r="E53" s="217">
        <f t="shared" si="21"/>
        <v>0</v>
      </c>
      <c r="F53" s="217">
        <f t="shared" si="21"/>
        <v>0</v>
      </c>
      <c r="G53" s="217">
        <f t="shared" si="21"/>
        <v>710</v>
      </c>
      <c r="H53" s="217">
        <f t="shared" si="21"/>
        <v>2467</v>
      </c>
      <c r="I53" s="217">
        <f t="shared" si="21"/>
        <v>575</v>
      </c>
      <c r="J53" s="217">
        <f t="shared" si="21"/>
        <v>0</v>
      </c>
      <c r="K53" s="217">
        <f t="shared" si="21"/>
        <v>0</v>
      </c>
      <c r="L53" s="217">
        <f t="shared" si="21"/>
        <v>1356</v>
      </c>
      <c r="M53" s="217">
        <f t="shared" si="21"/>
        <v>312</v>
      </c>
      <c r="N53" s="217">
        <f t="shared" si="21"/>
        <v>0</v>
      </c>
      <c r="O53" s="217">
        <f t="shared" si="21"/>
        <v>20</v>
      </c>
      <c r="P53" s="217">
        <f t="shared" si="21"/>
        <v>0</v>
      </c>
      <c r="Q53" s="217">
        <f t="shared" si="21"/>
        <v>0</v>
      </c>
      <c r="R53" s="217">
        <f t="shared" si="21"/>
        <v>0</v>
      </c>
      <c r="S53" s="217">
        <f t="shared" si="21"/>
        <v>0</v>
      </c>
      <c r="T53" s="217">
        <f t="shared" si="21"/>
        <v>0</v>
      </c>
      <c r="U53" s="217">
        <f t="shared" si="21"/>
        <v>5708</v>
      </c>
      <c r="V53" s="158"/>
      <c r="W53" s="150"/>
      <c r="X53" s="150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  <c r="BB53" s="246"/>
      <c r="BC53" s="246"/>
      <c r="BD53" s="246"/>
      <c r="BE53" s="246"/>
      <c r="BF53" s="246"/>
      <c r="BG53" s="246"/>
      <c r="BH53" s="246"/>
      <c r="BI53" s="246"/>
      <c r="BJ53" s="246"/>
      <c r="BK53" s="246"/>
      <c r="BL53" s="246"/>
      <c r="BM53" s="246"/>
      <c r="BN53" s="246"/>
    </row>
    <row r="54" spans="1:38" ht="12">
      <c r="A54" s="244" t="s">
        <v>112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51"/>
      <c r="V54" s="150"/>
      <c r="W54" s="150"/>
      <c r="X54" s="150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</row>
    <row r="55" spans="1:24" ht="12">
      <c r="A55" s="245" t="s">
        <v>105</v>
      </c>
      <c r="B55" s="223">
        <f aca="true" t="shared" si="22" ref="B55:U55">+B51+B47+B43+B39+B35</f>
        <v>803</v>
      </c>
      <c r="C55" s="223">
        <f t="shared" si="22"/>
        <v>317</v>
      </c>
      <c r="D55" s="223">
        <f t="shared" si="22"/>
        <v>395</v>
      </c>
      <c r="E55" s="223">
        <f t="shared" si="22"/>
        <v>162</v>
      </c>
      <c r="F55" s="223">
        <f t="shared" si="22"/>
        <v>2799</v>
      </c>
      <c r="G55" s="223">
        <f t="shared" si="22"/>
        <v>735</v>
      </c>
      <c r="H55" s="223">
        <f t="shared" si="22"/>
        <v>2174</v>
      </c>
      <c r="I55" s="223">
        <f t="shared" si="22"/>
        <v>5384</v>
      </c>
      <c r="J55" s="223">
        <f t="shared" si="22"/>
        <v>3138</v>
      </c>
      <c r="K55" s="223">
        <f t="shared" si="22"/>
        <v>431</v>
      </c>
      <c r="L55" s="223">
        <f t="shared" si="22"/>
        <v>1916</v>
      </c>
      <c r="M55" s="223">
        <f t="shared" si="22"/>
        <v>282</v>
      </c>
      <c r="N55" s="223">
        <f t="shared" si="22"/>
        <v>324</v>
      </c>
      <c r="O55" s="223">
        <f t="shared" si="22"/>
        <v>368</v>
      </c>
      <c r="P55" s="223">
        <f t="shared" si="22"/>
        <v>2415</v>
      </c>
      <c r="Q55" s="223">
        <f t="shared" si="22"/>
        <v>928</v>
      </c>
      <c r="R55" s="223">
        <f t="shared" si="22"/>
        <v>1822</v>
      </c>
      <c r="S55" s="223">
        <f t="shared" si="22"/>
        <v>403</v>
      </c>
      <c r="T55" s="223">
        <f t="shared" si="22"/>
        <v>106</v>
      </c>
      <c r="U55" s="223">
        <f t="shared" si="22"/>
        <v>24902</v>
      </c>
      <c r="V55" s="181"/>
      <c r="W55" s="181"/>
      <c r="X55" s="181"/>
    </row>
    <row r="56" spans="1:24" ht="12">
      <c r="A56" s="245" t="s">
        <v>115</v>
      </c>
      <c r="B56" s="223">
        <f aca="true" t="shared" si="23" ref="B56:U56">+B52+B48+B44+B40+B36</f>
        <v>316</v>
      </c>
      <c r="C56" s="223">
        <f t="shared" si="23"/>
        <v>35</v>
      </c>
      <c r="D56" s="223">
        <f t="shared" si="23"/>
        <v>70</v>
      </c>
      <c r="E56" s="223">
        <f t="shared" si="23"/>
        <v>100</v>
      </c>
      <c r="F56" s="223">
        <f t="shared" si="23"/>
        <v>1393</v>
      </c>
      <c r="G56" s="223">
        <f t="shared" si="23"/>
        <v>196</v>
      </c>
      <c r="H56" s="223">
        <f t="shared" si="23"/>
        <v>1128</v>
      </c>
      <c r="I56" s="223">
        <f t="shared" si="23"/>
        <v>3236</v>
      </c>
      <c r="J56" s="223">
        <f t="shared" si="23"/>
        <v>1596</v>
      </c>
      <c r="K56" s="223">
        <f t="shared" si="23"/>
        <v>188</v>
      </c>
      <c r="L56" s="223">
        <f t="shared" si="23"/>
        <v>607</v>
      </c>
      <c r="M56" s="223">
        <f t="shared" si="23"/>
        <v>143</v>
      </c>
      <c r="N56" s="223">
        <f t="shared" si="23"/>
        <v>100</v>
      </c>
      <c r="O56" s="223">
        <f t="shared" si="23"/>
        <v>233</v>
      </c>
      <c r="P56" s="223">
        <f t="shared" si="23"/>
        <v>994</v>
      </c>
      <c r="Q56" s="223">
        <f t="shared" si="23"/>
        <v>108</v>
      </c>
      <c r="R56" s="223">
        <f t="shared" si="23"/>
        <v>798</v>
      </c>
      <c r="S56" s="223">
        <f t="shared" si="23"/>
        <v>112</v>
      </c>
      <c r="T56" s="223">
        <f t="shared" si="23"/>
        <v>15</v>
      </c>
      <c r="U56" s="223">
        <f t="shared" si="23"/>
        <v>11368</v>
      </c>
      <c r="V56" s="181"/>
      <c r="W56" s="181"/>
      <c r="X56" s="181"/>
    </row>
    <row r="57" spans="1:80" ht="12">
      <c r="A57" s="245" t="s">
        <v>107</v>
      </c>
      <c r="B57" s="217">
        <f aca="true" t="shared" si="24" ref="B57:U57">+B55+B56</f>
        <v>1119</v>
      </c>
      <c r="C57" s="217">
        <f>+C55+C56</f>
        <v>352</v>
      </c>
      <c r="D57" s="217">
        <f t="shared" si="24"/>
        <v>465</v>
      </c>
      <c r="E57" s="217">
        <f t="shared" si="24"/>
        <v>262</v>
      </c>
      <c r="F57" s="217">
        <f t="shared" si="24"/>
        <v>4192</v>
      </c>
      <c r="G57" s="217">
        <f t="shared" si="24"/>
        <v>931</v>
      </c>
      <c r="H57" s="217">
        <f t="shared" si="24"/>
        <v>3302</v>
      </c>
      <c r="I57" s="217">
        <f t="shared" si="24"/>
        <v>8620</v>
      </c>
      <c r="J57" s="217">
        <f t="shared" si="24"/>
        <v>4734</v>
      </c>
      <c r="K57" s="217">
        <f t="shared" si="24"/>
        <v>619</v>
      </c>
      <c r="L57" s="217">
        <f t="shared" si="24"/>
        <v>2523</v>
      </c>
      <c r="M57" s="217">
        <f t="shared" si="24"/>
        <v>425</v>
      </c>
      <c r="N57" s="217">
        <f t="shared" si="24"/>
        <v>424</v>
      </c>
      <c r="O57" s="217">
        <f t="shared" si="24"/>
        <v>601</v>
      </c>
      <c r="P57" s="217">
        <f t="shared" si="24"/>
        <v>3409</v>
      </c>
      <c r="Q57" s="217">
        <f t="shared" si="24"/>
        <v>1036</v>
      </c>
      <c r="R57" s="217">
        <f t="shared" si="24"/>
        <v>2620</v>
      </c>
      <c r="S57" s="217">
        <f t="shared" si="24"/>
        <v>515</v>
      </c>
      <c r="T57" s="217">
        <f t="shared" si="24"/>
        <v>121</v>
      </c>
      <c r="U57" s="217">
        <f t="shared" si="24"/>
        <v>36270</v>
      </c>
      <c r="V57" s="158"/>
      <c r="W57" s="150"/>
      <c r="X57" s="150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O57" s="246"/>
      <c r="AP57" s="246"/>
      <c r="AQ57" s="246"/>
      <c r="AR57" s="246"/>
      <c r="AS57" s="246"/>
      <c r="AT57" s="246"/>
      <c r="AU57" s="246"/>
      <c r="AV57" s="246"/>
      <c r="AW57" s="246"/>
      <c r="AX57" s="246"/>
      <c r="AY57" s="246"/>
      <c r="AZ57" s="246"/>
      <c r="BA57" s="246"/>
      <c r="BB57" s="246"/>
      <c r="BC57" s="246"/>
      <c r="BD57" s="246"/>
      <c r="BE57" s="246"/>
      <c r="BF57" s="246"/>
      <c r="BG57" s="246"/>
      <c r="BH57" s="246"/>
      <c r="BI57" s="246"/>
      <c r="BJ57" s="246"/>
      <c r="BK57" s="246"/>
      <c r="BL57" s="246"/>
      <c r="BM57" s="246"/>
      <c r="BN57" s="246"/>
      <c r="BO57" s="246"/>
      <c r="BP57" s="246"/>
      <c r="BQ57" s="246"/>
      <c r="BR57" s="246"/>
      <c r="BS57" s="246"/>
      <c r="BT57" s="246"/>
      <c r="BU57" s="246"/>
      <c r="BV57" s="246"/>
      <c r="BW57" s="246"/>
      <c r="BX57" s="246"/>
      <c r="BY57" s="246"/>
      <c r="BZ57" s="246"/>
      <c r="CA57" s="246"/>
      <c r="CB57" s="246"/>
    </row>
    <row r="58" spans="2:21" s="135" customFormat="1" ht="12">
      <c r="B58" s="218"/>
      <c r="C58" s="218"/>
      <c r="E58" s="218"/>
      <c r="F58" s="218"/>
      <c r="G58" s="218"/>
      <c r="H58" s="218"/>
      <c r="I58" s="218"/>
      <c r="J58" s="218"/>
      <c r="K58" s="218" t="s">
        <v>65</v>
      </c>
      <c r="L58" s="218"/>
      <c r="M58" s="218"/>
      <c r="N58" s="218"/>
      <c r="O58" s="218"/>
      <c r="P58" s="252"/>
      <c r="Q58" s="218"/>
      <c r="R58" s="218"/>
      <c r="S58" s="218"/>
      <c r="T58" s="218"/>
      <c r="U58" s="218"/>
    </row>
    <row r="59" spans="1:66" s="120" customFormat="1" ht="12">
      <c r="A59" s="244" t="s">
        <v>104</v>
      </c>
      <c r="B59" s="215"/>
      <c r="C59" s="215"/>
      <c r="D59" s="169"/>
      <c r="E59" s="169"/>
      <c r="F59" s="169"/>
      <c r="G59" s="169"/>
      <c r="H59" s="215"/>
      <c r="I59" s="169"/>
      <c r="J59" s="169"/>
      <c r="K59" s="215"/>
      <c r="L59" s="169"/>
      <c r="M59" s="169"/>
      <c r="N59" s="169"/>
      <c r="O59" s="169"/>
      <c r="P59" s="169"/>
      <c r="Q59" s="169"/>
      <c r="R59" s="215"/>
      <c r="S59" s="215"/>
      <c r="T59" s="215"/>
      <c r="U59" s="172"/>
      <c r="V59" s="150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  <c r="BL59" s="171"/>
      <c r="BM59" s="171"/>
      <c r="BN59" s="171"/>
    </row>
    <row r="60" spans="1:66" ht="12">
      <c r="A60" s="245" t="s">
        <v>105</v>
      </c>
      <c r="B60" s="215"/>
      <c r="C60" s="219"/>
      <c r="D60" s="219"/>
      <c r="E60" s="219">
        <v>0</v>
      </c>
      <c r="F60" s="169"/>
      <c r="G60" s="253">
        <v>4</v>
      </c>
      <c r="H60" s="253">
        <v>1</v>
      </c>
      <c r="I60" s="169"/>
      <c r="J60" s="253">
        <v>0</v>
      </c>
      <c r="K60" s="253"/>
      <c r="L60" s="253"/>
      <c r="M60" s="253"/>
      <c r="N60" s="169"/>
      <c r="O60" s="169">
        <v>600</v>
      </c>
      <c r="P60" s="253"/>
      <c r="Q60" s="253">
        <v>1</v>
      </c>
      <c r="R60" s="215"/>
      <c r="S60" s="215"/>
      <c r="T60" s="253"/>
      <c r="U60" s="172">
        <f>SUM(B60:T60)</f>
        <v>606</v>
      </c>
      <c r="V60" s="150"/>
      <c r="W60" s="150"/>
      <c r="X60" s="150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6"/>
      <c r="AQ60" s="246"/>
      <c r="AR60" s="246"/>
      <c r="AS60" s="246"/>
      <c r="AT60" s="246"/>
      <c r="AU60" s="246"/>
      <c r="AV60" s="246"/>
      <c r="AW60" s="246"/>
      <c r="AX60" s="246"/>
      <c r="AY60" s="246"/>
      <c r="AZ60" s="246"/>
      <c r="BA60" s="246"/>
      <c r="BB60" s="246"/>
      <c r="BC60" s="246"/>
      <c r="BD60" s="246"/>
      <c r="BE60" s="246"/>
      <c r="BF60" s="246"/>
      <c r="BG60" s="246"/>
      <c r="BH60" s="246"/>
      <c r="BI60" s="246"/>
      <c r="BJ60" s="246"/>
      <c r="BK60" s="246"/>
      <c r="BL60" s="246"/>
      <c r="BM60" s="246"/>
      <c r="BN60" s="246"/>
    </row>
    <row r="61" spans="1:66" ht="12">
      <c r="A61" s="245" t="s">
        <v>115</v>
      </c>
      <c r="B61" s="215">
        <v>11</v>
      </c>
      <c r="C61" s="219"/>
      <c r="D61" s="219">
        <v>2</v>
      </c>
      <c r="E61" s="219">
        <v>64</v>
      </c>
      <c r="F61" s="169">
        <v>88</v>
      </c>
      <c r="G61" s="253">
        <v>70</v>
      </c>
      <c r="H61" s="169">
        <v>437</v>
      </c>
      <c r="I61" s="169">
        <v>70</v>
      </c>
      <c r="J61" s="169">
        <v>447</v>
      </c>
      <c r="K61" s="253">
        <v>101</v>
      </c>
      <c r="L61" s="253">
        <v>46</v>
      </c>
      <c r="M61" s="253">
        <v>29</v>
      </c>
      <c r="N61" s="169">
        <v>56</v>
      </c>
      <c r="O61" s="253">
        <v>603</v>
      </c>
      <c r="P61" s="169">
        <v>79</v>
      </c>
      <c r="Q61" s="253">
        <v>27</v>
      </c>
      <c r="R61" s="215">
        <v>183</v>
      </c>
      <c r="S61" s="215">
        <v>7</v>
      </c>
      <c r="T61" s="253">
        <v>4</v>
      </c>
      <c r="U61" s="172">
        <f>SUM(B61:T61)</f>
        <v>2324</v>
      </c>
      <c r="V61" s="150"/>
      <c r="W61" s="150"/>
      <c r="X61" s="150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  <c r="AO61" s="246"/>
      <c r="AP61" s="246"/>
      <c r="AQ61" s="246"/>
      <c r="AR61" s="246"/>
      <c r="AS61" s="246"/>
      <c r="AT61" s="246"/>
      <c r="AU61" s="246"/>
      <c r="AV61" s="246"/>
      <c r="AW61" s="246"/>
      <c r="AX61" s="246"/>
      <c r="AY61" s="246"/>
      <c r="AZ61" s="246"/>
      <c r="BA61" s="246"/>
      <c r="BB61" s="246"/>
      <c r="BC61" s="246"/>
      <c r="BD61" s="246"/>
      <c r="BE61" s="246"/>
      <c r="BF61" s="246"/>
      <c r="BG61" s="246"/>
      <c r="BH61" s="246"/>
      <c r="BI61" s="246"/>
      <c r="BJ61" s="246"/>
      <c r="BK61" s="246"/>
      <c r="BL61" s="246"/>
      <c r="BM61" s="246"/>
      <c r="BN61" s="246"/>
    </row>
    <row r="62" spans="1:66" ht="12">
      <c r="A62" s="245" t="s">
        <v>107</v>
      </c>
      <c r="B62" s="217">
        <f aca="true" t="shared" si="25" ref="B62:U62">+B60+B61</f>
        <v>11</v>
      </c>
      <c r="C62" s="217">
        <f t="shared" si="25"/>
        <v>0</v>
      </c>
      <c r="D62" s="217">
        <f t="shared" si="25"/>
        <v>2</v>
      </c>
      <c r="E62" s="217">
        <f t="shared" si="25"/>
        <v>64</v>
      </c>
      <c r="F62" s="217">
        <f t="shared" si="25"/>
        <v>88</v>
      </c>
      <c r="G62" s="217">
        <f t="shared" si="25"/>
        <v>74</v>
      </c>
      <c r="H62" s="217">
        <f t="shared" si="25"/>
        <v>438</v>
      </c>
      <c r="I62" s="217">
        <f t="shared" si="25"/>
        <v>70</v>
      </c>
      <c r="J62" s="217">
        <f t="shared" si="25"/>
        <v>447</v>
      </c>
      <c r="K62" s="217">
        <f t="shared" si="25"/>
        <v>101</v>
      </c>
      <c r="L62" s="217">
        <f t="shared" si="25"/>
        <v>46</v>
      </c>
      <c r="M62" s="217">
        <f t="shared" si="25"/>
        <v>29</v>
      </c>
      <c r="N62" s="217">
        <f t="shared" si="25"/>
        <v>56</v>
      </c>
      <c r="O62" s="217">
        <f t="shared" si="25"/>
        <v>1203</v>
      </c>
      <c r="P62" s="217">
        <f t="shared" si="25"/>
        <v>79</v>
      </c>
      <c r="Q62" s="217">
        <f t="shared" si="25"/>
        <v>28</v>
      </c>
      <c r="R62" s="217">
        <f t="shared" si="25"/>
        <v>183</v>
      </c>
      <c r="S62" s="217">
        <f t="shared" si="25"/>
        <v>7</v>
      </c>
      <c r="T62" s="217">
        <f t="shared" si="25"/>
        <v>4</v>
      </c>
      <c r="U62" s="217">
        <f t="shared" si="25"/>
        <v>2930</v>
      </c>
      <c r="V62" s="158"/>
      <c r="W62" s="150"/>
      <c r="X62" s="150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  <c r="AM62" s="246"/>
      <c r="AN62" s="246"/>
      <c r="AO62" s="246"/>
      <c r="AP62" s="246"/>
      <c r="AQ62" s="246"/>
      <c r="AR62" s="246"/>
      <c r="AS62" s="246"/>
      <c r="AT62" s="246"/>
      <c r="AU62" s="246"/>
      <c r="AV62" s="246"/>
      <c r="AW62" s="246"/>
      <c r="AX62" s="246"/>
      <c r="AY62" s="246"/>
      <c r="AZ62" s="246"/>
      <c r="BA62" s="246"/>
      <c r="BB62" s="246"/>
      <c r="BC62" s="246"/>
      <c r="BD62" s="246"/>
      <c r="BE62" s="246"/>
      <c r="BF62" s="246"/>
      <c r="BG62" s="246"/>
      <c r="BH62" s="246"/>
      <c r="BI62" s="246"/>
      <c r="BJ62" s="246"/>
      <c r="BK62" s="246"/>
      <c r="BL62" s="246"/>
      <c r="BM62" s="246"/>
      <c r="BN62" s="246"/>
    </row>
    <row r="63" spans="1:66" ht="12">
      <c r="A63" s="244" t="s">
        <v>108</v>
      </c>
      <c r="B63" s="215"/>
      <c r="C63" s="169"/>
      <c r="D63" s="169"/>
      <c r="E63" s="169"/>
      <c r="F63" s="169"/>
      <c r="G63" s="169"/>
      <c r="H63" s="215"/>
      <c r="I63" s="169"/>
      <c r="J63" s="169"/>
      <c r="K63" s="215"/>
      <c r="L63" s="169"/>
      <c r="M63" s="169"/>
      <c r="N63" s="169"/>
      <c r="O63" s="169"/>
      <c r="P63" s="169"/>
      <c r="Q63" s="169"/>
      <c r="R63" s="215"/>
      <c r="S63" s="215"/>
      <c r="T63" s="215"/>
      <c r="U63" s="172"/>
      <c r="V63" s="158"/>
      <c r="W63" s="150"/>
      <c r="X63" s="150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  <c r="AM63" s="246"/>
      <c r="AN63" s="246"/>
      <c r="AO63" s="246"/>
      <c r="AP63" s="246"/>
      <c r="AQ63" s="246"/>
      <c r="AR63" s="246"/>
      <c r="AS63" s="246"/>
      <c r="AT63" s="246"/>
      <c r="AU63" s="246"/>
      <c r="AV63" s="246"/>
      <c r="AW63" s="246"/>
      <c r="AX63" s="246"/>
      <c r="AY63" s="246"/>
      <c r="AZ63" s="246"/>
      <c r="BA63" s="246"/>
      <c r="BB63" s="246"/>
      <c r="BC63" s="246"/>
      <c r="BD63" s="246"/>
      <c r="BE63" s="246"/>
      <c r="BF63" s="246"/>
      <c r="BG63" s="246"/>
      <c r="BH63" s="246"/>
      <c r="BI63" s="246"/>
      <c r="BJ63" s="246"/>
      <c r="BK63" s="246"/>
      <c r="BL63" s="246"/>
      <c r="BM63" s="246"/>
      <c r="BN63" s="246"/>
    </row>
    <row r="64" spans="1:66" ht="12">
      <c r="A64" s="245" t="s">
        <v>105</v>
      </c>
      <c r="B64" s="215"/>
      <c r="C64" s="219"/>
      <c r="D64" s="219"/>
      <c r="E64" s="219"/>
      <c r="F64" s="169"/>
      <c r="G64" s="253"/>
      <c r="H64" s="253"/>
      <c r="I64" s="169"/>
      <c r="J64" s="253"/>
      <c r="K64" s="253"/>
      <c r="L64" s="253">
        <v>0</v>
      </c>
      <c r="M64" s="253"/>
      <c r="N64" s="169"/>
      <c r="O64" s="169"/>
      <c r="P64" s="253"/>
      <c r="Q64" s="253"/>
      <c r="R64" s="215"/>
      <c r="S64" s="215"/>
      <c r="T64" s="253"/>
      <c r="U64" s="172">
        <f>SUM(B64:T64)</f>
        <v>0</v>
      </c>
      <c r="V64" s="158"/>
      <c r="W64" s="150"/>
      <c r="X64" s="150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6"/>
      <c r="AS64" s="246"/>
      <c r="AT64" s="246"/>
      <c r="AU64" s="246"/>
      <c r="AV64" s="246"/>
      <c r="AW64" s="246"/>
      <c r="AX64" s="246"/>
      <c r="AY64" s="246"/>
      <c r="AZ64" s="246"/>
      <c r="BA64" s="246"/>
      <c r="BB64" s="246"/>
      <c r="BC64" s="246"/>
      <c r="BD64" s="246"/>
      <c r="BE64" s="246"/>
      <c r="BF64" s="246"/>
      <c r="BG64" s="246"/>
      <c r="BH64" s="246"/>
      <c r="BI64" s="246"/>
      <c r="BJ64" s="246"/>
      <c r="BK64" s="246"/>
      <c r="BL64" s="246"/>
      <c r="BM64" s="246"/>
      <c r="BN64" s="246"/>
    </row>
    <row r="65" spans="1:66" s="248" customFormat="1" ht="12">
      <c r="A65" s="245" t="s">
        <v>115</v>
      </c>
      <c r="B65" s="215"/>
      <c r="C65" s="219"/>
      <c r="D65" s="219"/>
      <c r="E65" s="219"/>
      <c r="F65" s="169">
        <v>1</v>
      </c>
      <c r="G65" s="253"/>
      <c r="H65" s="169">
        <v>1</v>
      </c>
      <c r="I65" s="169">
        <v>1</v>
      </c>
      <c r="J65" s="169"/>
      <c r="K65" s="253"/>
      <c r="L65" s="253">
        <v>0</v>
      </c>
      <c r="M65" s="253">
        <v>0</v>
      </c>
      <c r="N65" s="169"/>
      <c r="O65" s="253">
        <v>1</v>
      </c>
      <c r="P65" s="169"/>
      <c r="Q65" s="253"/>
      <c r="R65" s="215"/>
      <c r="S65" s="215">
        <v>0</v>
      </c>
      <c r="T65" s="253"/>
      <c r="U65" s="172">
        <f>SUM(B65:T65)</f>
        <v>4</v>
      </c>
      <c r="V65" s="164"/>
      <c r="W65" s="150"/>
      <c r="X65" s="150"/>
      <c r="Y65" s="247"/>
      <c r="Z65" s="247"/>
      <c r="AA65" s="247"/>
      <c r="AB65" s="247"/>
      <c r="AC65" s="247"/>
      <c r="AD65" s="247"/>
      <c r="AE65" s="247"/>
      <c r="AF65" s="247"/>
      <c r="AG65" s="247"/>
      <c r="AH65" s="247"/>
      <c r="AI65" s="247"/>
      <c r="AJ65" s="247"/>
      <c r="AK65" s="247"/>
      <c r="AL65" s="247"/>
      <c r="AM65" s="247"/>
      <c r="AN65" s="247"/>
      <c r="AO65" s="247"/>
      <c r="AP65" s="247"/>
      <c r="AQ65" s="247"/>
      <c r="AR65" s="247"/>
      <c r="AS65" s="247"/>
      <c r="AT65" s="247"/>
      <c r="AU65" s="247"/>
      <c r="AV65" s="247"/>
      <c r="AW65" s="247"/>
      <c r="AX65" s="247"/>
      <c r="AY65" s="247"/>
      <c r="AZ65" s="247"/>
      <c r="BA65" s="247"/>
      <c r="BB65" s="247"/>
      <c r="BC65" s="247"/>
      <c r="BD65" s="247"/>
      <c r="BE65" s="247"/>
      <c r="BF65" s="247"/>
      <c r="BG65" s="247"/>
      <c r="BH65" s="247"/>
      <c r="BI65" s="247"/>
      <c r="BJ65" s="247"/>
      <c r="BK65" s="247"/>
      <c r="BL65" s="247"/>
      <c r="BM65" s="247"/>
      <c r="BN65" s="247"/>
    </row>
    <row r="66" spans="1:66" ht="12">
      <c r="A66" s="245" t="s">
        <v>107</v>
      </c>
      <c r="B66" s="217">
        <f aca="true" t="shared" si="26" ref="B66:U66">+B64+B65</f>
        <v>0</v>
      </c>
      <c r="C66" s="217">
        <f t="shared" si="26"/>
        <v>0</v>
      </c>
      <c r="D66" s="217">
        <f t="shared" si="26"/>
        <v>0</v>
      </c>
      <c r="E66" s="217">
        <f t="shared" si="26"/>
        <v>0</v>
      </c>
      <c r="F66" s="217">
        <f t="shared" si="26"/>
        <v>1</v>
      </c>
      <c r="G66" s="217">
        <f t="shared" si="26"/>
        <v>0</v>
      </c>
      <c r="H66" s="217">
        <f t="shared" si="26"/>
        <v>1</v>
      </c>
      <c r="I66" s="217">
        <f t="shared" si="26"/>
        <v>1</v>
      </c>
      <c r="J66" s="217">
        <f t="shared" si="26"/>
        <v>0</v>
      </c>
      <c r="K66" s="217">
        <f t="shared" si="26"/>
        <v>0</v>
      </c>
      <c r="L66" s="217">
        <f t="shared" si="26"/>
        <v>0</v>
      </c>
      <c r="M66" s="217">
        <f t="shared" si="26"/>
        <v>0</v>
      </c>
      <c r="N66" s="217">
        <f t="shared" si="26"/>
        <v>0</v>
      </c>
      <c r="O66" s="217">
        <f t="shared" si="26"/>
        <v>1</v>
      </c>
      <c r="P66" s="217">
        <f t="shared" si="26"/>
        <v>0</v>
      </c>
      <c r="Q66" s="217">
        <f t="shared" si="26"/>
        <v>0</v>
      </c>
      <c r="R66" s="217">
        <f t="shared" si="26"/>
        <v>0</v>
      </c>
      <c r="S66" s="217">
        <f t="shared" si="26"/>
        <v>0</v>
      </c>
      <c r="T66" s="217">
        <f t="shared" si="26"/>
        <v>0</v>
      </c>
      <c r="U66" s="217">
        <f t="shared" si="26"/>
        <v>4</v>
      </c>
      <c r="V66" s="158"/>
      <c r="W66" s="150"/>
      <c r="X66" s="150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  <c r="AM66" s="246"/>
      <c r="AN66" s="246"/>
      <c r="AO66" s="246"/>
      <c r="AP66" s="246"/>
      <c r="AQ66" s="246"/>
      <c r="AR66" s="246"/>
      <c r="AS66" s="246"/>
      <c r="AT66" s="246"/>
      <c r="AU66" s="246"/>
      <c r="AV66" s="246"/>
      <c r="AW66" s="246"/>
      <c r="AX66" s="246"/>
      <c r="AY66" s="246"/>
      <c r="AZ66" s="246"/>
      <c r="BA66" s="246"/>
      <c r="BB66" s="246"/>
      <c r="BC66" s="246"/>
      <c r="BD66" s="246"/>
      <c r="BE66" s="246"/>
      <c r="BF66" s="246"/>
      <c r="BG66" s="246"/>
      <c r="BH66" s="246"/>
      <c r="BI66" s="246"/>
      <c r="BJ66" s="246"/>
      <c r="BK66" s="246"/>
      <c r="BL66" s="246"/>
      <c r="BM66" s="246"/>
      <c r="BN66" s="246"/>
    </row>
    <row r="67" spans="1:66" s="250" customFormat="1" ht="12">
      <c r="A67" s="244" t="s">
        <v>109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9"/>
      <c r="S67" s="163"/>
      <c r="T67" s="163"/>
      <c r="U67" s="172"/>
      <c r="V67" s="164"/>
      <c r="W67" s="150"/>
      <c r="X67" s="150"/>
      <c r="Y67" s="249"/>
      <c r="Z67" s="249"/>
      <c r="AA67" s="249"/>
      <c r="AB67" s="249"/>
      <c r="AC67" s="249"/>
      <c r="AD67" s="249"/>
      <c r="AE67" s="249"/>
      <c r="AF67" s="249"/>
      <c r="AG67" s="249"/>
      <c r="AH67" s="249"/>
      <c r="AI67" s="249"/>
      <c r="AJ67" s="249"/>
      <c r="AK67" s="249"/>
      <c r="AL67" s="249"/>
      <c r="AM67" s="249"/>
      <c r="AN67" s="249"/>
      <c r="AO67" s="249"/>
      <c r="AP67" s="249"/>
      <c r="AQ67" s="249"/>
      <c r="AR67" s="249"/>
      <c r="AS67" s="249"/>
      <c r="AT67" s="249"/>
      <c r="AU67" s="249"/>
      <c r="AV67" s="249"/>
      <c r="AW67" s="249"/>
      <c r="AX67" s="249"/>
      <c r="AY67" s="249"/>
      <c r="AZ67" s="249"/>
      <c r="BA67" s="249"/>
      <c r="BB67" s="249"/>
      <c r="BC67" s="249"/>
      <c r="BD67" s="249"/>
      <c r="BE67" s="249"/>
      <c r="BF67" s="249"/>
      <c r="BG67" s="249"/>
      <c r="BH67" s="249"/>
      <c r="BI67" s="249"/>
      <c r="BJ67" s="249"/>
      <c r="BK67" s="249"/>
      <c r="BL67" s="249"/>
      <c r="BM67" s="249"/>
      <c r="BN67" s="249"/>
    </row>
    <row r="68" spans="1:66" ht="13.5" customHeight="1">
      <c r="A68" s="245" t="s">
        <v>105</v>
      </c>
      <c r="B68" s="215">
        <v>490</v>
      </c>
      <c r="C68" s="219">
        <v>50</v>
      </c>
      <c r="D68" s="219">
        <v>156</v>
      </c>
      <c r="E68" s="219">
        <v>283</v>
      </c>
      <c r="F68" s="169">
        <v>2115</v>
      </c>
      <c r="G68" s="253">
        <v>463</v>
      </c>
      <c r="H68" s="253">
        <v>489</v>
      </c>
      <c r="I68" s="169">
        <v>1299</v>
      </c>
      <c r="J68" s="169">
        <v>3946</v>
      </c>
      <c r="K68" s="169">
        <v>1488</v>
      </c>
      <c r="L68" s="169">
        <v>1782</v>
      </c>
      <c r="M68" s="253">
        <v>57</v>
      </c>
      <c r="N68" s="169">
        <v>567</v>
      </c>
      <c r="O68" s="169">
        <v>1755</v>
      </c>
      <c r="P68" s="254">
        <v>1377</v>
      </c>
      <c r="Q68" s="253">
        <v>335</v>
      </c>
      <c r="R68" s="215">
        <v>2314</v>
      </c>
      <c r="S68" s="215">
        <v>266</v>
      </c>
      <c r="T68" s="253">
        <v>455</v>
      </c>
      <c r="U68" s="172">
        <f>SUM(B68:T68)</f>
        <v>19687</v>
      </c>
      <c r="V68" s="167"/>
      <c r="W68" s="167"/>
      <c r="X68" s="167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  <c r="BG68" s="246"/>
      <c r="BH68" s="246"/>
      <c r="BI68" s="246"/>
      <c r="BJ68" s="246"/>
      <c r="BK68" s="246"/>
      <c r="BL68" s="246"/>
      <c r="BM68" s="246"/>
      <c r="BN68" s="246"/>
    </row>
    <row r="69" spans="1:38" ht="12">
      <c r="A69" s="245" t="s">
        <v>115</v>
      </c>
      <c r="B69" s="215">
        <v>118</v>
      </c>
      <c r="C69" s="219">
        <v>12</v>
      </c>
      <c r="D69" s="219">
        <v>13</v>
      </c>
      <c r="E69" s="219">
        <v>156</v>
      </c>
      <c r="F69" s="169">
        <v>944</v>
      </c>
      <c r="G69" s="253">
        <v>61</v>
      </c>
      <c r="H69" s="169">
        <v>274</v>
      </c>
      <c r="I69" s="169">
        <v>468</v>
      </c>
      <c r="J69" s="169">
        <v>1412</v>
      </c>
      <c r="K69" s="253">
        <v>621</v>
      </c>
      <c r="L69" s="253">
        <v>382</v>
      </c>
      <c r="M69" s="253">
        <v>14</v>
      </c>
      <c r="N69" s="169">
        <v>164</v>
      </c>
      <c r="O69" s="254">
        <v>802</v>
      </c>
      <c r="P69" s="169">
        <v>460</v>
      </c>
      <c r="Q69" s="253">
        <v>32</v>
      </c>
      <c r="R69" s="215">
        <v>687</v>
      </c>
      <c r="S69" s="215">
        <v>34</v>
      </c>
      <c r="T69" s="253">
        <v>18</v>
      </c>
      <c r="U69" s="172">
        <f>SUM(B69:T69)</f>
        <v>6672</v>
      </c>
      <c r="V69" s="167"/>
      <c r="W69" s="167"/>
      <c r="X69" s="167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</row>
    <row r="70" spans="1:66" ht="12">
      <c r="A70" s="245" t="s">
        <v>107</v>
      </c>
      <c r="B70" s="217">
        <f aca="true" t="shared" si="27" ref="B70:U70">+B68+B69</f>
        <v>608</v>
      </c>
      <c r="C70" s="217">
        <f t="shared" si="27"/>
        <v>62</v>
      </c>
      <c r="D70" s="217">
        <f t="shared" si="27"/>
        <v>169</v>
      </c>
      <c r="E70" s="217">
        <f t="shared" si="27"/>
        <v>439</v>
      </c>
      <c r="F70" s="217">
        <f t="shared" si="27"/>
        <v>3059</v>
      </c>
      <c r="G70" s="217">
        <f t="shared" si="27"/>
        <v>524</v>
      </c>
      <c r="H70" s="217">
        <f>+H68+H69</f>
        <v>763</v>
      </c>
      <c r="I70" s="217">
        <f t="shared" si="27"/>
        <v>1767</v>
      </c>
      <c r="J70" s="217">
        <f t="shared" si="27"/>
        <v>5358</v>
      </c>
      <c r="K70" s="217">
        <f t="shared" si="27"/>
        <v>2109</v>
      </c>
      <c r="L70" s="217">
        <f t="shared" si="27"/>
        <v>2164</v>
      </c>
      <c r="M70" s="217">
        <f t="shared" si="27"/>
        <v>71</v>
      </c>
      <c r="N70" s="217">
        <f>+N68+N69</f>
        <v>731</v>
      </c>
      <c r="O70" s="217">
        <f t="shared" si="27"/>
        <v>2557</v>
      </c>
      <c r="P70" s="217">
        <f t="shared" si="27"/>
        <v>1837</v>
      </c>
      <c r="Q70" s="217">
        <f t="shared" si="27"/>
        <v>367</v>
      </c>
      <c r="R70" s="217">
        <f t="shared" si="27"/>
        <v>3001</v>
      </c>
      <c r="S70" s="217">
        <f t="shared" si="27"/>
        <v>300</v>
      </c>
      <c r="T70" s="217">
        <f t="shared" si="27"/>
        <v>473</v>
      </c>
      <c r="U70" s="217">
        <f t="shared" si="27"/>
        <v>26359</v>
      </c>
      <c r="V70" s="158"/>
      <c r="W70" s="150"/>
      <c r="X70" s="150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246"/>
      <c r="AM70" s="246"/>
      <c r="AN70" s="246"/>
      <c r="AO70" s="246"/>
      <c r="AP70" s="246"/>
      <c r="AQ70" s="246"/>
      <c r="AR70" s="246"/>
      <c r="AS70" s="246"/>
      <c r="AT70" s="246"/>
      <c r="AU70" s="246"/>
      <c r="AV70" s="246"/>
      <c r="AW70" s="246"/>
      <c r="AX70" s="246"/>
      <c r="AY70" s="246"/>
      <c r="AZ70" s="246"/>
      <c r="BA70" s="246"/>
      <c r="BB70" s="246"/>
      <c r="BC70" s="246"/>
      <c r="BD70" s="246"/>
      <c r="BE70" s="246"/>
      <c r="BF70" s="246"/>
      <c r="BG70" s="246"/>
      <c r="BH70" s="246"/>
      <c r="BI70" s="246"/>
      <c r="BJ70" s="246"/>
      <c r="BK70" s="246"/>
      <c r="BL70" s="246"/>
      <c r="BM70" s="246"/>
      <c r="BN70" s="246"/>
    </row>
    <row r="71" spans="1:38" ht="24">
      <c r="A71" s="244" t="s">
        <v>117</v>
      </c>
      <c r="B71" s="169"/>
      <c r="C71" s="170"/>
      <c r="D71" s="170"/>
      <c r="E71" s="170"/>
      <c r="F71" s="169"/>
      <c r="G71" s="169"/>
      <c r="H71" s="171"/>
      <c r="I71" s="169"/>
      <c r="J71" s="172"/>
      <c r="K71" s="170"/>
      <c r="L71" s="172"/>
      <c r="M71" s="172"/>
      <c r="N71" s="170"/>
      <c r="O71" s="169"/>
      <c r="P71" s="172"/>
      <c r="Q71" s="170"/>
      <c r="R71" s="169"/>
      <c r="S71" s="169"/>
      <c r="T71" s="169"/>
      <c r="U71" s="172"/>
      <c r="V71" s="171"/>
      <c r="W71" s="171"/>
      <c r="X71" s="171"/>
      <c r="Y71" s="246"/>
      <c r="Z71" s="246"/>
      <c r="AA71" s="246"/>
      <c r="AB71" s="246"/>
      <c r="AC71" s="246"/>
      <c r="AD71" s="246"/>
      <c r="AE71" s="246"/>
      <c r="AF71" s="246"/>
      <c r="AG71" s="246"/>
      <c r="AH71" s="246"/>
      <c r="AI71" s="246"/>
      <c r="AJ71" s="246"/>
      <c r="AK71" s="246"/>
      <c r="AL71" s="246"/>
    </row>
    <row r="72" spans="1:38" ht="12">
      <c r="A72" s="245" t="s">
        <v>105</v>
      </c>
      <c r="B72" s="215">
        <v>90</v>
      </c>
      <c r="C72" s="219"/>
      <c r="D72" s="219">
        <v>66</v>
      </c>
      <c r="E72" s="219">
        <v>153</v>
      </c>
      <c r="F72" s="169">
        <v>782</v>
      </c>
      <c r="G72" s="253">
        <v>49</v>
      </c>
      <c r="H72" s="254">
        <v>1</v>
      </c>
      <c r="I72" s="169">
        <v>499</v>
      </c>
      <c r="J72" s="254">
        <v>1483</v>
      </c>
      <c r="K72" s="253">
        <v>387</v>
      </c>
      <c r="L72" s="253">
        <v>83</v>
      </c>
      <c r="M72" s="253">
        <v>35</v>
      </c>
      <c r="N72" s="169">
        <v>511</v>
      </c>
      <c r="O72" s="169">
        <v>493</v>
      </c>
      <c r="P72" s="253">
        <v>601</v>
      </c>
      <c r="Q72" s="253">
        <v>83</v>
      </c>
      <c r="R72" s="215">
        <v>760</v>
      </c>
      <c r="S72" s="215">
        <v>120</v>
      </c>
      <c r="T72" s="253">
        <v>194</v>
      </c>
      <c r="U72" s="172">
        <f>SUM(B72:T72)</f>
        <v>6390</v>
      </c>
      <c r="V72" s="150"/>
      <c r="W72" s="150"/>
      <c r="X72" s="150"/>
      <c r="Y72" s="246"/>
      <c r="Z72" s="246"/>
      <c r="AA72" s="246"/>
      <c r="AB72" s="246"/>
      <c r="AC72" s="246"/>
      <c r="AD72" s="246"/>
      <c r="AE72" s="246"/>
      <c r="AF72" s="246"/>
      <c r="AG72" s="246"/>
      <c r="AH72" s="246"/>
      <c r="AI72" s="246"/>
      <c r="AJ72" s="246"/>
      <c r="AK72" s="246"/>
      <c r="AL72" s="246"/>
    </row>
    <row r="73" spans="1:38" ht="12">
      <c r="A73" s="245" t="s">
        <v>115</v>
      </c>
      <c r="B73" s="215">
        <v>13</v>
      </c>
      <c r="C73" s="219"/>
      <c r="D73" s="219">
        <v>4</v>
      </c>
      <c r="E73" s="219">
        <v>51</v>
      </c>
      <c r="F73" s="169">
        <v>149</v>
      </c>
      <c r="G73" s="253">
        <v>3</v>
      </c>
      <c r="H73" s="169">
        <v>39</v>
      </c>
      <c r="I73" s="169">
        <v>211</v>
      </c>
      <c r="J73" s="169">
        <v>522</v>
      </c>
      <c r="K73" s="253">
        <v>101</v>
      </c>
      <c r="L73" s="253">
        <v>3</v>
      </c>
      <c r="M73" s="253">
        <v>6</v>
      </c>
      <c r="N73" s="169">
        <v>101</v>
      </c>
      <c r="O73" s="253">
        <v>233</v>
      </c>
      <c r="P73" s="169">
        <v>127</v>
      </c>
      <c r="Q73" s="253">
        <v>4</v>
      </c>
      <c r="R73" s="215">
        <v>194</v>
      </c>
      <c r="S73" s="215">
        <v>64</v>
      </c>
      <c r="T73" s="253">
        <v>18</v>
      </c>
      <c r="U73" s="172">
        <f>SUM(B73:T73)</f>
        <v>1843</v>
      </c>
      <c r="V73" s="164"/>
      <c r="W73" s="164"/>
      <c r="X73" s="164"/>
      <c r="Y73" s="246"/>
      <c r="Z73" s="246"/>
      <c r="AA73" s="246"/>
      <c r="AB73" s="246"/>
      <c r="AC73" s="246"/>
      <c r="AD73" s="246"/>
      <c r="AE73" s="246"/>
      <c r="AF73" s="246"/>
      <c r="AG73" s="246"/>
      <c r="AH73" s="246"/>
      <c r="AI73" s="246"/>
      <c r="AJ73" s="246"/>
      <c r="AK73" s="246"/>
      <c r="AL73" s="246"/>
    </row>
    <row r="74" spans="1:66" ht="12">
      <c r="A74" s="245" t="s">
        <v>107</v>
      </c>
      <c r="B74" s="217">
        <f aca="true" t="shared" si="28" ref="B74:U74">+B72+B73</f>
        <v>103</v>
      </c>
      <c r="C74" s="217">
        <f t="shared" si="28"/>
        <v>0</v>
      </c>
      <c r="D74" s="217">
        <f t="shared" si="28"/>
        <v>70</v>
      </c>
      <c r="E74" s="217">
        <f t="shared" si="28"/>
        <v>204</v>
      </c>
      <c r="F74" s="217">
        <f t="shared" si="28"/>
        <v>931</v>
      </c>
      <c r="G74" s="217">
        <f t="shared" si="28"/>
        <v>52</v>
      </c>
      <c r="H74" s="217">
        <f t="shared" si="28"/>
        <v>40</v>
      </c>
      <c r="I74" s="217">
        <f t="shared" si="28"/>
        <v>710</v>
      </c>
      <c r="J74" s="217">
        <f t="shared" si="28"/>
        <v>2005</v>
      </c>
      <c r="K74" s="217">
        <f t="shared" si="28"/>
        <v>488</v>
      </c>
      <c r="L74" s="217">
        <f t="shared" si="28"/>
        <v>86</v>
      </c>
      <c r="M74" s="217">
        <f t="shared" si="28"/>
        <v>41</v>
      </c>
      <c r="N74" s="217">
        <f t="shared" si="28"/>
        <v>612</v>
      </c>
      <c r="O74" s="217">
        <f t="shared" si="28"/>
        <v>726</v>
      </c>
      <c r="P74" s="217">
        <f t="shared" si="28"/>
        <v>728</v>
      </c>
      <c r="Q74" s="217">
        <f t="shared" si="28"/>
        <v>87</v>
      </c>
      <c r="R74" s="217">
        <f t="shared" si="28"/>
        <v>954</v>
      </c>
      <c r="S74" s="217">
        <f t="shared" si="28"/>
        <v>184</v>
      </c>
      <c r="T74" s="217">
        <f t="shared" si="28"/>
        <v>212</v>
      </c>
      <c r="U74" s="217">
        <f t="shared" si="28"/>
        <v>8233</v>
      </c>
      <c r="V74" s="158"/>
      <c r="W74" s="150"/>
      <c r="X74" s="150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  <c r="AN74" s="246"/>
      <c r="AO74" s="246"/>
      <c r="AP74" s="246"/>
      <c r="AQ74" s="246"/>
      <c r="AR74" s="246"/>
      <c r="AS74" s="246"/>
      <c r="AT74" s="246"/>
      <c r="AU74" s="246"/>
      <c r="AV74" s="246"/>
      <c r="AW74" s="246"/>
      <c r="AX74" s="246"/>
      <c r="AY74" s="246"/>
      <c r="AZ74" s="246"/>
      <c r="BA74" s="246"/>
      <c r="BB74" s="246"/>
      <c r="BC74" s="246"/>
      <c r="BD74" s="246"/>
      <c r="BE74" s="246"/>
      <c r="BF74" s="246"/>
      <c r="BG74" s="246"/>
      <c r="BH74" s="246"/>
      <c r="BI74" s="246"/>
      <c r="BJ74" s="246"/>
      <c r="BK74" s="246"/>
      <c r="BL74" s="246"/>
      <c r="BM74" s="246"/>
      <c r="BN74" s="246"/>
    </row>
    <row r="75" spans="1:38" ht="12">
      <c r="A75" s="244" t="s">
        <v>111</v>
      </c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72"/>
      <c r="V75" s="163"/>
      <c r="W75" s="163"/>
      <c r="X75" s="163"/>
      <c r="Y75" s="246"/>
      <c r="Z75" s="246"/>
      <c r="AA75" s="246"/>
      <c r="AB75" s="246"/>
      <c r="AC75" s="246"/>
      <c r="AD75" s="246"/>
      <c r="AE75" s="246"/>
      <c r="AF75" s="246"/>
      <c r="AG75" s="246"/>
      <c r="AH75" s="246"/>
      <c r="AI75" s="246"/>
      <c r="AJ75" s="246"/>
      <c r="AK75" s="246"/>
      <c r="AL75" s="246"/>
    </row>
    <row r="76" spans="1:38" ht="12">
      <c r="A76" s="245" t="s">
        <v>105</v>
      </c>
      <c r="B76" s="215"/>
      <c r="C76" s="219">
        <v>314</v>
      </c>
      <c r="D76" s="219"/>
      <c r="E76" s="219"/>
      <c r="F76" s="169"/>
      <c r="G76" s="254">
        <v>1558</v>
      </c>
      <c r="H76" s="254">
        <v>2881</v>
      </c>
      <c r="I76" s="169">
        <v>361</v>
      </c>
      <c r="J76" s="253"/>
      <c r="K76" s="253"/>
      <c r="L76" s="254">
        <v>1295</v>
      </c>
      <c r="M76" s="253">
        <v>533</v>
      </c>
      <c r="N76" s="169"/>
      <c r="O76" s="169">
        <v>273</v>
      </c>
      <c r="P76" s="253"/>
      <c r="Q76" s="253"/>
      <c r="R76" s="215"/>
      <c r="S76" s="215"/>
      <c r="T76" s="253"/>
      <c r="U76" s="172">
        <f>SUM(B76:T76)</f>
        <v>7215</v>
      </c>
      <c r="V76" s="177"/>
      <c r="W76" s="177"/>
      <c r="X76" s="177"/>
      <c r="Y76" s="246"/>
      <c r="Z76" s="246"/>
      <c r="AA76" s="246"/>
      <c r="AB76" s="246"/>
      <c r="AC76" s="246"/>
      <c r="AD76" s="246"/>
      <c r="AE76" s="246"/>
      <c r="AF76" s="246"/>
      <c r="AG76" s="246"/>
      <c r="AH76" s="246"/>
      <c r="AI76" s="246"/>
      <c r="AJ76" s="246"/>
      <c r="AK76" s="246"/>
      <c r="AL76" s="246"/>
    </row>
    <row r="77" spans="1:38" ht="12">
      <c r="A77" s="245" t="s">
        <v>115</v>
      </c>
      <c r="B77" s="215"/>
      <c r="C77" s="219">
        <v>14</v>
      </c>
      <c r="D77" s="219"/>
      <c r="E77" s="219"/>
      <c r="F77" s="169"/>
      <c r="G77" s="253">
        <v>305</v>
      </c>
      <c r="H77" s="169">
        <v>930</v>
      </c>
      <c r="I77" s="169">
        <v>227</v>
      </c>
      <c r="J77" s="169"/>
      <c r="K77" s="253"/>
      <c r="L77" s="253">
        <v>384</v>
      </c>
      <c r="M77" s="253">
        <v>235</v>
      </c>
      <c r="N77" s="169"/>
      <c r="O77" s="253"/>
      <c r="P77" s="169"/>
      <c r="Q77" s="253"/>
      <c r="R77" s="215"/>
      <c r="S77" s="215"/>
      <c r="T77" s="253"/>
      <c r="U77" s="172">
        <f>SUM(B77:T77)</f>
        <v>2095</v>
      </c>
      <c r="V77" s="150"/>
      <c r="W77" s="150"/>
      <c r="X77" s="150"/>
      <c r="Y77" s="246"/>
      <c r="Z77" s="246"/>
      <c r="AA77" s="246"/>
      <c r="AB77" s="246"/>
      <c r="AC77" s="246"/>
      <c r="AD77" s="246"/>
      <c r="AE77" s="246"/>
      <c r="AF77" s="246"/>
      <c r="AG77" s="246"/>
      <c r="AH77" s="246"/>
      <c r="AI77" s="246"/>
      <c r="AJ77" s="246"/>
      <c r="AK77" s="246"/>
      <c r="AL77" s="246"/>
    </row>
    <row r="78" spans="1:66" ht="12">
      <c r="A78" s="245" t="s">
        <v>107</v>
      </c>
      <c r="B78" s="217">
        <f aca="true" t="shared" si="29" ref="B78:U78">+B76+B77</f>
        <v>0</v>
      </c>
      <c r="C78" s="217">
        <f t="shared" si="29"/>
        <v>328</v>
      </c>
      <c r="D78" s="217">
        <f t="shared" si="29"/>
        <v>0</v>
      </c>
      <c r="E78" s="217">
        <f t="shared" si="29"/>
        <v>0</v>
      </c>
      <c r="F78" s="217">
        <f t="shared" si="29"/>
        <v>0</v>
      </c>
      <c r="G78" s="217">
        <f t="shared" si="29"/>
        <v>1863</v>
      </c>
      <c r="H78" s="217">
        <f t="shared" si="29"/>
        <v>3811</v>
      </c>
      <c r="I78" s="217">
        <f t="shared" si="29"/>
        <v>588</v>
      </c>
      <c r="J78" s="217">
        <f t="shared" si="29"/>
        <v>0</v>
      </c>
      <c r="K78" s="217">
        <f t="shared" si="29"/>
        <v>0</v>
      </c>
      <c r="L78" s="217">
        <f t="shared" si="29"/>
        <v>1679</v>
      </c>
      <c r="M78" s="217">
        <f t="shared" si="29"/>
        <v>768</v>
      </c>
      <c r="N78" s="217">
        <f t="shared" si="29"/>
        <v>0</v>
      </c>
      <c r="O78" s="217">
        <f t="shared" si="29"/>
        <v>273</v>
      </c>
      <c r="P78" s="217">
        <f t="shared" si="29"/>
        <v>0</v>
      </c>
      <c r="Q78" s="217">
        <f t="shared" si="29"/>
        <v>0</v>
      </c>
      <c r="R78" s="217">
        <f t="shared" si="29"/>
        <v>0</v>
      </c>
      <c r="S78" s="217">
        <f t="shared" si="29"/>
        <v>0</v>
      </c>
      <c r="T78" s="217">
        <f t="shared" si="29"/>
        <v>0</v>
      </c>
      <c r="U78" s="217">
        <f t="shared" si="29"/>
        <v>9310</v>
      </c>
      <c r="V78" s="158"/>
      <c r="W78" s="150"/>
      <c r="X78" s="150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  <c r="AO78" s="246"/>
      <c r="AP78" s="246"/>
      <c r="AQ78" s="246"/>
      <c r="AR78" s="246"/>
      <c r="AS78" s="246"/>
      <c r="AT78" s="246"/>
      <c r="AU78" s="246"/>
      <c r="AV78" s="246"/>
      <c r="AW78" s="246"/>
      <c r="AX78" s="246"/>
      <c r="AY78" s="246"/>
      <c r="AZ78" s="246"/>
      <c r="BA78" s="246"/>
      <c r="BB78" s="246"/>
      <c r="BC78" s="246"/>
      <c r="BD78" s="246"/>
      <c r="BE78" s="246"/>
      <c r="BF78" s="246"/>
      <c r="BG78" s="246"/>
      <c r="BH78" s="246"/>
      <c r="BI78" s="246"/>
      <c r="BJ78" s="246"/>
      <c r="BK78" s="246"/>
      <c r="BL78" s="246"/>
      <c r="BM78" s="246"/>
      <c r="BN78" s="246"/>
    </row>
    <row r="79" spans="1:38" ht="12">
      <c r="A79" s="244" t="s">
        <v>112</v>
      </c>
      <c r="B79" s="216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51"/>
      <c r="V79" s="150"/>
      <c r="W79" s="150"/>
      <c r="X79" s="150"/>
      <c r="Y79" s="246"/>
      <c r="Z79" s="246"/>
      <c r="AA79" s="246"/>
      <c r="AB79" s="246"/>
      <c r="AC79" s="246"/>
      <c r="AD79" s="246"/>
      <c r="AE79" s="246"/>
      <c r="AF79" s="246"/>
      <c r="AG79" s="246"/>
      <c r="AH79" s="246"/>
      <c r="AI79" s="246"/>
      <c r="AJ79" s="246"/>
      <c r="AK79" s="246"/>
      <c r="AL79" s="246"/>
    </row>
    <row r="80" spans="1:24" ht="12">
      <c r="A80" s="245" t="s">
        <v>105</v>
      </c>
      <c r="B80" s="223">
        <f aca="true" t="shared" si="30" ref="B80:U80">+B76+B72+B68+B64+B60</f>
        <v>580</v>
      </c>
      <c r="C80" s="223">
        <f t="shared" si="30"/>
        <v>364</v>
      </c>
      <c r="D80" s="223">
        <f t="shared" si="30"/>
        <v>222</v>
      </c>
      <c r="E80" s="223">
        <f t="shared" si="30"/>
        <v>436</v>
      </c>
      <c r="F80" s="223">
        <f t="shared" si="30"/>
        <v>2897</v>
      </c>
      <c r="G80" s="223">
        <f t="shared" si="30"/>
        <v>2074</v>
      </c>
      <c r="H80" s="223">
        <f t="shared" si="30"/>
        <v>3372</v>
      </c>
      <c r="I80" s="223">
        <f t="shared" si="30"/>
        <v>2159</v>
      </c>
      <c r="J80" s="223">
        <f t="shared" si="30"/>
        <v>5429</v>
      </c>
      <c r="K80" s="223">
        <f t="shared" si="30"/>
        <v>1875</v>
      </c>
      <c r="L80" s="223">
        <f t="shared" si="30"/>
        <v>3160</v>
      </c>
      <c r="M80" s="223">
        <f t="shared" si="30"/>
        <v>625</v>
      </c>
      <c r="N80" s="223">
        <f t="shared" si="30"/>
        <v>1078</v>
      </c>
      <c r="O80" s="223">
        <f t="shared" si="30"/>
        <v>3121</v>
      </c>
      <c r="P80" s="223">
        <f t="shared" si="30"/>
        <v>1978</v>
      </c>
      <c r="Q80" s="223">
        <f t="shared" si="30"/>
        <v>419</v>
      </c>
      <c r="R80" s="223">
        <f t="shared" si="30"/>
        <v>3074</v>
      </c>
      <c r="S80" s="223">
        <f t="shared" si="30"/>
        <v>386</v>
      </c>
      <c r="T80" s="223">
        <f t="shared" si="30"/>
        <v>649</v>
      </c>
      <c r="U80" s="223">
        <f t="shared" si="30"/>
        <v>33898</v>
      </c>
      <c r="V80" s="181"/>
      <c r="W80" s="181"/>
      <c r="X80" s="181"/>
    </row>
    <row r="81" spans="1:24" ht="12">
      <c r="A81" s="245" t="s">
        <v>115</v>
      </c>
      <c r="B81" s="223">
        <f aca="true" t="shared" si="31" ref="B81:U81">+B77+B73+B69+B65+B61</f>
        <v>142</v>
      </c>
      <c r="C81" s="223">
        <f t="shared" si="31"/>
        <v>26</v>
      </c>
      <c r="D81" s="223">
        <f t="shared" si="31"/>
        <v>19</v>
      </c>
      <c r="E81" s="223">
        <f t="shared" si="31"/>
        <v>271</v>
      </c>
      <c r="F81" s="223">
        <f t="shared" si="31"/>
        <v>1182</v>
      </c>
      <c r="G81" s="223">
        <f t="shared" si="31"/>
        <v>439</v>
      </c>
      <c r="H81" s="223">
        <f t="shared" si="31"/>
        <v>1681</v>
      </c>
      <c r="I81" s="223">
        <f t="shared" si="31"/>
        <v>977</v>
      </c>
      <c r="J81" s="223">
        <f t="shared" si="31"/>
        <v>2381</v>
      </c>
      <c r="K81" s="223">
        <f t="shared" si="31"/>
        <v>823</v>
      </c>
      <c r="L81" s="223">
        <f t="shared" si="31"/>
        <v>815</v>
      </c>
      <c r="M81" s="223">
        <f t="shared" si="31"/>
        <v>284</v>
      </c>
      <c r="N81" s="223">
        <f t="shared" si="31"/>
        <v>321</v>
      </c>
      <c r="O81" s="223">
        <f t="shared" si="31"/>
        <v>1639</v>
      </c>
      <c r="P81" s="223">
        <f t="shared" si="31"/>
        <v>666</v>
      </c>
      <c r="Q81" s="223">
        <f t="shared" si="31"/>
        <v>63</v>
      </c>
      <c r="R81" s="223">
        <f t="shared" si="31"/>
        <v>1064</v>
      </c>
      <c r="S81" s="223">
        <f t="shared" si="31"/>
        <v>105</v>
      </c>
      <c r="T81" s="223">
        <f t="shared" si="31"/>
        <v>40</v>
      </c>
      <c r="U81" s="223">
        <f t="shared" si="31"/>
        <v>12938</v>
      </c>
      <c r="V81" s="181"/>
      <c r="W81" s="181"/>
      <c r="X81" s="181"/>
    </row>
    <row r="82" spans="1:66" ht="12">
      <c r="A82" s="255" t="s">
        <v>107</v>
      </c>
      <c r="B82" s="221">
        <f aca="true" t="shared" si="32" ref="B82:U82">+B80+B81</f>
        <v>722</v>
      </c>
      <c r="C82" s="221">
        <f>+C80+C81</f>
        <v>390</v>
      </c>
      <c r="D82" s="221">
        <f t="shared" si="32"/>
        <v>241</v>
      </c>
      <c r="E82" s="221">
        <f t="shared" si="32"/>
        <v>707</v>
      </c>
      <c r="F82" s="221">
        <f t="shared" si="32"/>
        <v>4079</v>
      </c>
      <c r="G82" s="221">
        <f t="shared" si="32"/>
        <v>2513</v>
      </c>
      <c r="H82" s="221">
        <f t="shared" si="32"/>
        <v>5053</v>
      </c>
      <c r="I82" s="221">
        <f t="shared" si="32"/>
        <v>3136</v>
      </c>
      <c r="J82" s="221">
        <f t="shared" si="32"/>
        <v>7810</v>
      </c>
      <c r="K82" s="221">
        <f t="shared" si="32"/>
        <v>2698</v>
      </c>
      <c r="L82" s="221">
        <f t="shared" si="32"/>
        <v>3975</v>
      </c>
      <c r="M82" s="221">
        <f t="shared" si="32"/>
        <v>909</v>
      </c>
      <c r="N82" s="221">
        <f t="shared" si="32"/>
        <v>1399</v>
      </c>
      <c r="O82" s="221">
        <f t="shared" si="32"/>
        <v>4760</v>
      </c>
      <c r="P82" s="221">
        <f t="shared" si="32"/>
        <v>2644</v>
      </c>
      <c r="Q82" s="221">
        <f t="shared" si="32"/>
        <v>482</v>
      </c>
      <c r="R82" s="221">
        <f t="shared" si="32"/>
        <v>4138</v>
      </c>
      <c r="S82" s="221">
        <f t="shared" si="32"/>
        <v>491</v>
      </c>
      <c r="T82" s="221">
        <f t="shared" si="32"/>
        <v>689</v>
      </c>
      <c r="U82" s="221">
        <f t="shared" si="32"/>
        <v>46836</v>
      </c>
      <c r="V82" s="158"/>
      <c r="W82" s="150"/>
      <c r="X82" s="150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/>
      <c r="AJ82" s="246"/>
      <c r="AK82" s="246"/>
      <c r="AL82" s="246"/>
      <c r="AM82" s="246"/>
      <c r="AN82" s="246"/>
      <c r="AO82" s="246"/>
      <c r="AP82" s="246"/>
      <c r="AQ82" s="246"/>
      <c r="AR82" s="246"/>
      <c r="AS82" s="246"/>
      <c r="AT82" s="246"/>
      <c r="AU82" s="246"/>
      <c r="AV82" s="246"/>
      <c r="AW82" s="246"/>
      <c r="AX82" s="246"/>
      <c r="AY82" s="246"/>
      <c r="AZ82" s="246"/>
      <c r="BA82" s="246"/>
      <c r="BB82" s="246"/>
      <c r="BC82" s="246"/>
      <c r="BD82" s="246"/>
      <c r="BE82" s="246"/>
      <c r="BF82" s="246"/>
      <c r="BG82" s="246"/>
      <c r="BH82" s="246"/>
      <c r="BI82" s="246"/>
      <c r="BJ82" s="246"/>
      <c r="BK82" s="246"/>
      <c r="BL82" s="246"/>
      <c r="BM82" s="246"/>
      <c r="BN82" s="246"/>
    </row>
    <row r="83" spans="1:24" ht="12">
      <c r="A83" s="256" t="s">
        <v>113</v>
      </c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4"/>
      <c r="V83" s="187"/>
      <c r="W83" s="187"/>
      <c r="X83" s="187"/>
    </row>
    <row r="84" spans="1:24" ht="12">
      <c r="A84" s="257" t="s">
        <v>66</v>
      </c>
      <c r="B84" s="258"/>
      <c r="C84" s="223"/>
      <c r="D84" s="258"/>
      <c r="E84" s="223"/>
      <c r="F84" s="258"/>
      <c r="G84" s="258"/>
      <c r="H84" s="258"/>
      <c r="I84" s="258"/>
      <c r="J84" s="258"/>
      <c r="K84" s="223"/>
      <c r="L84" s="258"/>
      <c r="M84" s="258"/>
      <c r="N84" s="223"/>
      <c r="O84" s="258"/>
      <c r="P84" s="258"/>
      <c r="Q84" s="223"/>
      <c r="R84" s="258"/>
      <c r="S84" s="258"/>
      <c r="T84" s="258"/>
      <c r="U84" s="224"/>
      <c r="V84" s="190"/>
      <c r="W84" s="190"/>
      <c r="X84" s="190"/>
    </row>
    <row r="85" spans="1:24" ht="12">
      <c r="A85" s="259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192"/>
      <c r="W85" s="192"/>
      <c r="X85" s="192"/>
    </row>
    <row r="86" spans="1:24" ht="12">
      <c r="A86" s="260"/>
      <c r="B86" s="200"/>
      <c r="C86" s="225"/>
      <c r="D86" s="225"/>
      <c r="E86" s="225"/>
      <c r="F86" s="200"/>
      <c r="G86" s="200"/>
      <c r="H86" s="200"/>
      <c r="I86" s="200"/>
      <c r="J86" s="200"/>
      <c r="K86" s="225"/>
      <c r="L86" s="200"/>
      <c r="M86" s="200"/>
      <c r="N86" s="225"/>
      <c r="O86" s="200"/>
      <c r="P86" s="200"/>
      <c r="Q86" s="225"/>
      <c r="R86" s="200"/>
      <c r="S86" s="200"/>
      <c r="T86" s="200"/>
      <c r="U86" s="224"/>
      <c r="V86" s="200"/>
      <c r="W86" s="200"/>
      <c r="X86" s="200"/>
    </row>
    <row r="87" spans="1:24" ht="12">
      <c r="A87" s="260"/>
      <c r="B87" s="200"/>
      <c r="C87" s="225"/>
      <c r="D87" s="225"/>
      <c r="E87" s="225"/>
      <c r="F87" s="200"/>
      <c r="G87" s="200"/>
      <c r="H87" s="200"/>
      <c r="I87" s="200"/>
      <c r="J87" s="200"/>
      <c r="K87" s="225"/>
      <c r="L87" s="200"/>
      <c r="M87" s="200"/>
      <c r="N87" s="225"/>
      <c r="O87" s="200"/>
      <c r="P87" s="200"/>
      <c r="Q87" s="225"/>
      <c r="R87" s="200"/>
      <c r="S87" s="200"/>
      <c r="T87" s="200"/>
      <c r="U87" s="224"/>
      <c r="V87" s="200"/>
      <c r="W87" s="200"/>
      <c r="X87" s="200"/>
    </row>
    <row r="88" spans="1:24" ht="12">
      <c r="A88" s="260"/>
      <c r="B88" s="200"/>
      <c r="C88" s="225"/>
      <c r="D88" s="225"/>
      <c r="E88" s="225"/>
      <c r="F88" s="200"/>
      <c r="G88" s="200"/>
      <c r="H88" s="200"/>
      <c r="I88" s="200"/>
      <c r="J88" s="200"/>
      <c r="K88" s="225"/>
      <c r="L88" s="200"/>
      <c r="M88" s="200"/>
      <c r="N88" s="225"/>
      <c r="O88" s="200"/>
      <c r="P88" s="200"/>
      <c r="Q88" s="225"/>
      <c r="R88" s="200"/>
      <c r="S88" s="200"/>
      <c r="T88" s="200"/>
      <c r="U88" s="224"/>
      <c r="V88" s="200"/>
      <c r="W88" s="200"/>
      <c r="X88" s="200"/>
    </row>
    <row r="89" spans="1:24" ht="12">
      <c r="A89" s="260"/>
      <c r="B89" s="200"/>
      <c r="C89" s="225"/>
      <c r="D89" s="225"/>
      <c r="E89" s="225"/>
      <c r="F89" s="200"/>
      <c r="G89" s="200"/>
      <c r="H89" s="200"/>
      <c r="I89" s="200"/>
      <c r="J89" s="200"/>
      <c r="K89" s="225"/>
      <c r="L89" s="200"/>
      <c r="M89" s="200"/>
      <c r="N89" s="225"/>
      <c r="O89" s="200"/>
      <c r="P89" s="200"/>
      <c r="Q89" s="225"/>
      <c r="R89" s="200"/>
      <c r="S89" s="200"/>
      <c r="T89" s="200"/>
      <c r="U89" s="224"/>
      <c r="V89" s="200"/>
      <c r="W89" s="200"/>
      <c r="X89" s="200"/>
    </row>
    <row r="90" spans="1:24" ht="12">
      <c r="A90" s="260"/>
      <c r="B90" s="200"/>
      <c r="C90" s="225"/>
      <c r="D90" s="225"/>
      <c r="E90" s="225"/>
      <c r="F90" s="200"/>
      <c r="G90" s="200"/>
      <c r="H90" s="200"/>
      <c r="I90" s="200"/>
      <c r="J90" s="225"/>
      <c r="K90" s="225"/>
      <c r="L90" s="200"/>
      <c r="M90" s="200"/>
      <c r="N90" s="225"/>
      <c r="O90" s="200"/>
      <c r="P90" s="200"/>
      <c r="Q90" s="225"/>
      <c r="R90" s="200"/>
      <c r="S90" s="200"/>
      <c r="T90" s="200"/>
      <c r="U90" s="224"/>
      <c r="V90" s="200"/>
      <c r="W90" s="200"/>
      <c r="X90" s="200"/>
    </row>
    <row r="91" spans="1:24" ht="12">
      <c r="A91" s="260"/>
      <c r="B91" s="200"/>
      <c r="C91" s="225"/>
      <c r="D91" s="200"/>
      <c r="E91" s="225"/>
      <c r="F91" s="200"/>
      <c r="G91" s="200"/>
      <c r="H91" s="200"/>
      <c r="I91" s="200"/>
      <c r="J91" s="200"/>
      <c r="K91" s="225"/>
      <c r="L91" s="200"/>
      <c r="M91" s="200"/>
      <c r="N91" s="225"/>
      <c r="O91" s="200"/>
      <c r="P91" s="200"/>
      <c r="Q91" s="225"/>
      <c r="R91" s="200"/>
      <c r="S91" s="200"/>
      <c r="T91" s="200"/>
      <c r="U91" s="224"/>
      <c r="V91" s="200"/>
      <c r="W91" s="200"/>
      <c r="X91" s="200"/>
    </row>
    <row r="92" spans="1:24" ht="12">
      <c r="A92" s="261"/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24"/>
      <c r="V92" s="203"/>
      <c r="W92" s="203"/>
      <c r="X92" s="203"/>
    </row>
    <row r="93" spans="1:24" ht="12">
      <c r="A93" s="225"/>
      <c r="B93" s="200"/>
      <c r="C93" s="225"/>
      <c r="D93" s="200"/>
      <c r="E93" s="225"/>
      <c r="F93" s="200"/>
      <c r="G93" s="200"/>
      <c r="H93" s="200"/>
      <c r="I93" s="200"/>
      <c r="J93" s="200"/>
      <c r="K93" s="225"/>
      <c r="L93" s="200"/>
      <c r="M93" s="200"/>
      <c r="N93" s="225"/>
      <c r="O93" s="200"/>
      <c r="P93" s="225"/>
      <c r="Q93" s="225"/>
      <c r="R93" s="200"/>
      <c r="S93" s="200"/>
      <c r="T93" s="200"/>
      <c r="U93" s="224"/>
      <c r="V93" s="200"/>
      <c r="W93" s="200"/>
      <c r="X93" s="200"/>
    </row>
    <row r="94" spans="1:24" ht="12">
      <c r="A94" s="164"/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</row>
    <row r="95" spans="1:24" ht="12">
      <c r="A95" s="262"/>
      <c r="B95" s="226"/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63"/>
      <c r="V95" s="203"/>
      <c r="W95" s="203"/>
      <c r="X95" s="203"/>
    </row>
  </sheetData>
  <sheetProtection/>
  <mergeCells count="1">
    <mergeCell ref="B3:T3"/>
  </mergeCells>
  <printOptions/>
  <pageMargins left="0.5511811023622047" right="0.2362204724409449" top="0.5511811023622047" bottom="0.1968503937007874" header="0.5118110236220472" footer="0.2362204724409449"/>
  <pageSetup fitToHeight="1" fitToWidth="1" orientation="portrait" paperSize="9" scale="68" r:id="rId1"/>
  <headerFooter alignWithMargins="0">
    <oddHeader>&amp;R&amp;F</oddHeader>
    <oddFooter>&amp;LComune di Bologna - Dipartimento Programmazione - Settore Statistica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5"/>
  <sheetViews>
    <sheetView showZeros="0" zoomScale="85" zoomScaleNormal="85" zoomScalePageLayoutView="0" workbookViewId="0" topLeftCell="A1">
      <pane ySplit="7" topLeftCell="A26" activePane="bottomLeft" state="frozen"/>
      <selection pane="topLeft" activeCell="T1" sqref="T1:T16384"/>
      <selection pane="bottomLeft" activeCell="T1" sqref="T1:T16384"/>
    </sheetView>
  </sheetViews>
  <sheetFormatPr defaultColWidth="10.875" defaultRowHeight="12"/>
  <cols>
    <col min="1" max="1" width="30.875" style="138" customWidth="1"/>
    <col min="2" max="5" width="6.625" style="138" customWidth="1"/>
    <col min="6" max="10" width="7.625" style="138" customWidth="1"/>
    <col min="11" max="11" width="9.75390625" style="138" customWidth="1"/>
    <col min="12" max="15" width="7.625" style="138" customWidth="1"/>
    <col min="16" max="16" width="9.875" style="138" customWidth="1"/>
    <col min="17" max="19" width="7.625" style="138" customWidth="1"/>
    <col min="20" max="20" width="9.00390625" style="138" customWidth="1"/>
    <col min="21" max="21" width="8.00390625" style="138" customWidth="1"/>
    <col min="22" max="23" width="9.875" style="138" customWidth="1"/>
    <col min="24" max="16384" width="10.875" style="138" customWidth="1"/>
  </cols>
  <sheetData>
    <row r="1" spans="1:21" s="120" customFormat="1" ht="15" customHeight="1">
      <c r="A1" s="227" t="s">
        <v>116</v>
      </c>
      <c r="B1" s="209"/>
      <c r="C1" s="209"/>
      <c r="D1" s="209"/>
      <c r="E1" s="209"/>
      <c r="F1" s="209"/>
      <c r="G1" s="209"/>
      <c r="H1" s="227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28"/>
      <c r="T1" s="209"/>
      <c r="U1" s="228"/>
    </row>
    <row r="2" spans="1:21" s="131" customFormat="1" ht="15">
      <c r="A2" s="229" t="s">
        <v>129</v>
      </c>
      <c r="B2" s="211"/>
      <c r="C2" s="211"/>
      <c r="D2" s="230"/>
      <c r="E2" s="211"/>
      <c r="F2" s="231"/>
      <c r="G2" s="230"/>
      <c r="H2" s="232"/>
      <c r="I2" s="211"/>
      <c r="J2" s="233"/>
      <c r="K2" s="234" t="s">
        <v>0</v>
      </c>
      <c r="L2" s="211"/>
      <c r="M2" s="211"/>
      <c r="N2" s="211"/>
      <c r="O2" s="211"/>
      <c r="P2" s="211"/>
      <c r="Q2" s="211"/>
      <c r="R2" s="233"/>
      <c r="S2" s="235"/>
      <c r="T2" s="211"/>
      <c r="U2" s="236"/>
    </row>
    <row r="3" spans="1:21" s="135" customFormat="1" ht="12">
      <c r="A3" s="237"/>
      <c r="B3" s="268" t="s">
        <v>2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38" t="s">
        <v>103</v>
      </c>
    </row>
    <row r="4" spans="1:21" ht="12">
      <c r="A4" s="237"/>
      <c r="B4" s="239" t="s">
        <v>14</v>
      </c>
      <c r="C4" s="212" t="s">
        <v>77</v>
      </c>
      <c r="D4" s="212" t="s">
        <v>11</v>
      </c>
      <c r="E4" s="212" t="s">
        <v>17</v>
      </c>
      <c r="F4" s="212" t="s">
        <v>7</v>
      </c>
      <c r="G4" s="239" t="s">
        <v>89</v>
      </c>
      <c r="H4" s="212" t="s">
        <v>5</v>
      </c>
      <c r="I4" s="239" t="s">
        <v>13</v>
      </c>
      <c r="J4" s="212" t="s">
        <v>8</v>
      </c>
      <c r="K4" s="212" t="s">
        <v>15</v>
      </c>
      <c r="L4" s="212" t="s">
        <v>10</v>
      </c>
      <c r="M4" s="212" t="s">
        <v>10</v>
      </c>
      <c r="N4" s="212" t="s">
        <v>16</v>
      </c>
      <c r="O4" s="239" t="s">
        <v>6</v>
      </c>
      <c r="P4" s="212" t="s">
        <v>6</v>
      </c>
      <c r="Q4" s="212" t="s">
        <v>79</v>
      </c>
      <c r="R4" s="212" t="s">
        <v>6</v>
      </c>
      <c r="S4" s="212" t="s">
        <v>6</v>
      </c>
      <c r="T4" s="239" t="s">
        <v>9</v>
      </c>
      <c r="U4" s="239"/>
    </row>
    <row r="5" spans="1:21" ht="12">
      <c r="A5" s="237"/>
      <c r="B5" s="239" t="s">
        <v>31</v>
      </c>
      <c r="C5" s="212" t="s">
        <v>78</v>
      </c>
      <c r="D5" s="212" t="s">
        <v>28</v>
      </c>
      <c r="E5" s="212" t="s">
        <v>35</v>
      </c>
      <c r="F5" s="212" t="s">
        <v>21</v>
      </c>
      <c r="G5" s="212" t="s">
        <v>29</v>
      </c>
      <c r="H5" s="212" t="s">
        <v>19</v>
      </c>
      <c r="I5" s="239" t="s">
        <v>30</v>
      </c>
      <c r="J5" s="212" t="s">
        <v>23</v>
      </c>
      <c r="K5" s="212" t="s">
        <v>33</v>
      </c>
      <c r="L5" s="212" t="s">
        <v>26</v>
      </c>
      <c r="M5" s="212" t="s">
        <v>32</v>
      </c>
      <c r="N5" s="212" t="s">
        <v>34</v>
      </c>
      <c r="O5" s="239" t="s">
        <v>24</v>
      </c>
      <c r="P5" s="212" t="s">
        <v>96</v>
      </c>
      <c r="Q5" s="212" t="s">
        <v>84</v>
      </c>
      <c r="R5" s="212" t="s">
        <v>20</v>
      </c>
      <c r="S5" s="239" t="s">
        <v>22</v>
      </c>
      <c r="T5" s="239" t="s">
        <v>101</v>
      </c>
      <c r="U5" s="239"/>
    </row>
    <row r="6" spans="1:21" ht="12">
      <c r="A6" s="225"/>
      <c r="B6" s="225"/>
      <c r="C6" s="212"/>
      <c r="D6" s="212" t="s">
        <v>44</v>
      </c>
      <c r="E6" s="212" t="s">
        <v>46</v>
      </c>
      <c r="F6" s="239"/>
      <c r="G6" s="225"/>
      <c r="H6" s="212" t="s">
        <v>36</v>
      </c>
      <c r="I6" s="225"/>
      <c r="J6" s="212" t="s">
        <v>39</v>
      </c>
      <c r="K6" s="212" t="s">
        <v>95</v>
      </c>
      <c r="L6" s="212" t="s">
        <v>42</v>
      </c>
      <c r="M6" s="212" t="s">
        <v>45</v>
      </c>
      <c r="N6" s="212"/>
      <c r="O6" s="240" t="s">
        <v>40</v>
      </c>
      <c r="P6" s="212" t="s">
        <v>97</v>
      </c>
      <c r="Q6" s="212" t="s">
        <v>85</v>
      </c>
      <c r="R6" s="212" t="s">
        <v>37</v>
      </c>
      <c r="S6" s="239" t="s">
        <v>38</v>
      </c>
      <c r="T6" s="239" t="s">
        <v>99</v>
      </c>
      <c r="U6" s="239"/>
    </row>
    <row r="7" spans="1:21" s="131" customFormat="1" ht="12">
      <c r="A7" s="241"/>
      <c r="B7" s="242"/>
      <c r="C7" s="213"/>
      <c r="D7" s="242"/>
      <c r="E7" s="213" t="s">
        <v>93</v>
      </c>
      <c r="F7" s="242"/>
      <c r="G7" s="242"/>
      <c r="H7" s="241"/>
      <c r="I7" s="242"/>
      <c r="J7" s="213" t="s">
        <v>47</v>
      </c>
      <c r="K7" s="213" t="s">
        <v>94</v>
      </c>
      <c r="L7" s="213" t="s">
        <v>50</v>
      </c>
      <c r="M7" s="213" t="s">
        <v>51</v>
      </c>
      <c r="N7" s="213"/>
      <c r="O7" s="242" t="s">
        <v>48</v>
      </c>
      <c r="P7" s="213" t="s">
        <v>98</v>
      </c>
      <c r="Q7" s="213"/>
      <c r="R7" s="242"/>
      <c r="S7" s="242"/>
      <c r="T7" s="242" t="s">
        <v>100</v>
      </c>
      <c r="U7" s="242"/>
    </row>
    <row r="8" spans="2:21" s="135" customFormat="1" ht="12">
      <c r="B8" s="214"/>
      <c r="C8" s="214"/>
      <c r="E8" s="214"/>
      <c r="F8" s="214"/>
      <c r="G8" s="214"/>
      <c r="H8" s="214"/>
      <c r="I8" s="214"/>
      <c r="J8" s="218"/>
      <c r="K8" s="214" t="s">
        <v>54</v>
      </c>
      <c r="L8" s="214"/>
      <c r="M8" s="214"/>
      <c r="N8" s="214"/>
      <c r="O8" s="214"/>
      <c r="P8" s="243"/>
      <c r="Q8" s="214"/>
      <c r="R8" s="214"/>
      <c r="S8" s="214"/>
      <c r="T8" s="214"/>
      <c r="U8" s="214"/>
    </row>
    <row r="9" spans="1:66" s="120" customFormat="1" ht="12">
      <c r="A9" s="244" t="s">
        <v>104</v>
      </c>
      <c r="B9" s="215"/>
      <c r="C9" s="215"/>
      <c r="D9" s="169"/>
      <c r="E9" s="169"/>
      <c r="F9" s="169"/>
      <c r="G9" s="169"/>
      <c r="H9" s="215"/>
      <c r="I9" s="169"/>
      <c r="J9" s="169"/>
      <c r="K9" s="215"/>
      <c r="L9" s="169"/>
      <c r="M9" s="169"/>
      <c r="N9" s="169"/>
      <c r="O9" s="169"/>
      <c r="P9" s="169"/>
      <c r="Q9" s="169"/>
      <c r="R9" s="215"/>
      <c r="S9" s="215"/>
      <c r="T9" s="215"/>
      <c r="U9" s="172"/>
      <c r="V9" s="150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</row>
    <row r="10" spans="1:66" ht="12">
      <c r="A10" s="245" t="s">
        <v>105</v>
      </c>
      <c r="B10" s="215">
        <f aca="true" t="shared" si="0" ref="B10:T12">+B35+B60</f>
        <v>0</v>
      </c>
      <c r="C10" s="215">
        <f t="shared" si="0"/>
        <v>0</v>
      </c>
      <c r="D10" s="215">
        <f t="shared" si="0"/>
        <v>0</v>
      </c>
      <c r="E10" s="215">
        <f t="shared" si="0"/>
        <v>0</v>
      </c>
      <c r="F10" s="215">
        <f t="shared" si="0"/>
        <v>0</v>
      </c>
      <c r="G10" s="215">
        <f t="shared" si="0"/>
        <v>9</v>
      </c>
      <c r="H10" s="215">
        <f t="shared" si="0"/>
        <v>0</v>
      </c>
      <c r="I10" s="215">
        <f t="shared" si="0"/>
        <v>0</v>
      </c>
      <c r="J10" s="215">
        <f t="shared" si="0"/>
        <v>0</v>
      </c>
      <c r="K10" s="215">
        <f t="shared" si="0"/>
        <v>0</v>
      </c>
      <c r="L10" s="215">
        <f t="shared" si="0"/>
        <v>0</v>
      </c>
      <c r="M10" s="215">
        <f t="shared" si="0"/>
        <v>0</v>
      </c>
      <c r="N10" s="215">
        <f t="shared" si="0"/>
        <v>0</v>
      </c>
      <c r="O10" s="215">
        <f t="shared" si="0"/>
        <v>884</v>
      </c>
      <c r="P10" s="215">
        <f t="shared" si="0"/>
        <v>1</v>
      </c>
      <c r="Q10" s="215">
        <f t="shared" si="0"/>
        <v>1</v>
      </c>
      <c r="R10" s="215">
        <f t="shared" si="0"/>
        <v>0</v>
      </c>
      <c r="S10" s="215">
        <f t="shared" si="0"/>
        <v>0</v>
      </c>
      <c r="T10" s="215">
        <f t="shared" si="0"/>
        <v>0</v>
      </c>
      <c r="U10" s="172">
        <f>SUM(B10:T10)</f>
        <v>895</v>
      </c>
      <c r="V10" s="150"/>
      <c r="W10" s="150"/>
      <c r="X10" s="150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6"/>
    </row>
    <row r="11" spans="1:66" ht="12">
      <c r="A11" s="245" t="s">
        <v>115</v>
      </c>
      <c r="B11" s="215">
        <f t="shared" si="0"/>
        <v>58</v>
      </c>
      <c r="C11" s="215">
        <f t="shared" si="0"/>
        <v>0</v>
      </c>
      <c r="D11" s="215">
        <f t="shared" si="0"/>
        <v>8</v>
      </c>
      <c r="E11" s="215">
        <f t="shared" si="0"/>
        <v>105</v>
      </c>
      <c r="F11" s="215">
        <f t="shared" si="0"/>
        <v>242</v>
      </c>
      <c r="G11" s="215">
        <f t="shared" si="0"/>
        <v>106</v>
      </c>
      <c r="H11" s="215">
        <f t="shared" si="0"/>
        <v>880</v>
      </c>
      <c r="I11" s="215">
        <f>+I36+I61</f>
        <v>516</v>
      </c>
      <c r="J11" s="215">
        <f t="shared" si="0"/>
        <v>889</v>
      </c>
      <c r="K11" s="215">
        <f t="shared" si="0"/>
        <v>121</v>
      </c>
      <c r="L11" s="215">
        <f t="shared" si="0"/>
        <v>124</v>
      </c>
      <c r="M11" s="215">
        <f t="shared" si="0"/>
        <v>40</v>
      </c>
      <c r="N11" s="215">
        <f t="shared" si="0"/>
        <v>80</v>
      </c>
      <c r="O11" s="215">
        <f t="shared" si="0"/>
        <v>661</v>
      </c>
      <c r="P11" s="215">
        <f t="shared" si="0"/>
        <v>207</v>
      </c>
      <c r="Q11" s="215">
        <f t="shared" si="0"/>
        <v>67</v>
      </c>
      <c r="R11" s="215">
        <f t="shared" si="0"/>
        <v>375</v>
      </c>
      <c r="S11" s="215">
        <f t="shared" si="0"/>
        <v>20</v>
      </c>
      <c r="T11" s="215">
        <f t="shared" si="0"/>
        <v>6</v>
      </c>
      <c r="U11" s="172">
        <f>SUM(B11:T11)</f>
        <v>4505</v>
      </c>
      <c r="V11" s="150"/>
      <c r="W11" s="150"/>
      <c r="X11" s="150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</row>
    <row r="12" spans="1:66" ht="12">
      <c r="A12" s="245" t="s">
        <v>107</v>
      </c>
      <c r="B12" s="215">
        <f t="shared" si="0"/>
        <v>58</v>
      </c>
      <c r="C12" s="215">
        <f t="shared" si="0"/>
        <v>0</v>
      </c>
      <c r="D12" s="215">
        <f t="shared" si="0"/>
        <v>8</v>
      </c>
      <c r="E12" s="215">
        <f t="shared" si="0"/>
        <v>105</v>
      </c>
      <c r="F12" s="215">
        <f t="shared" si="0"/>
        <v>242</v>
      </c>
      <c r="G12" s="215">
        <f t="shared" si="0"/>
        <v>115</v>
      </c>
      <c r="H12" s="215">
        <f t="shared" si="0"/>
        <v>880</v>
      </c>
      <c r="I12" s="215">
        <f t="shared" si="0"/>
        <v>516</v>
      </c>
      <c r="J12" s="215">
        <f t="shared" si="0"/>
        <v>889</v>
      </c>
      <c r="K12" s="215">
        <f t="shared" si="0"/>
        <v>121</v>
      </c>
      <c r="L12" s="215">
        <f t="shared" si="0"/>
        <v>124</v>
      </c>
      <c r="M12" s="215">
        <f t="shared" si="0"/>
        <v>40</v>
      </c>
      <c r="N12" s="215">
        <f t="shared" si="0"/>
        <v>80</v>
      </c>
      <c r="O12" s="215">
        <f t="shared" si="0"/>
        <v>1545</v>
      </c>
      <c r="P12" s="215">
        <f t="shared" si="0"/>
        <v>208</v>
      </c>
      <c r="Q12" s="215">
        <f t="shared" si="0"/>
        <v>68</v>
      </c>
      <c r="R12" s="215">
        <f t="shared" si="0"/>
        <v>375</v>
      </c>
      <c r="S12" s="215">
        <f t="shared" si="0"/>
        <v>20</v>
      </c>
      <c r="T12" s="215">
        <f t="shared" si="0"/>
        <v>6</v>
      </c>
      <c r="U12" s="217">
        <f>+U10+U11</f>
        <v>5400</v>
      </c>
      <c r="V12" s="158"/>
      <c r="W12" s="150"/>
      <c r="X12" s="150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</row>
    <row r="13" spans="1:66" ht="12">
      <c r="A13" s="244" t="s">
        <v>108</v>
      </c>
      <c r="B13" s="215"/>
      <c r="C13" s="169"/>
      <c r="D13" s="169"/>
      <c r="E13" s="169"/>
      <c r="F13" s="169"/>
      <c r="G13" s="169"/>
      <c r="H13" s="215"/>
      <c r="I13" s="169"/>
      <c r="J13" s="169"/>
      <c r="K13" s="215"/>
      <c r="L13" s="169"/>
      <c r="M13" s="169"/>
      <c r="N13" s="169"/>
      <c r="O13" s="169"/>
      <c r="P13" s="169"/>
      <c r="Q13" s="169"/>
      <c r="R13" s="215"/>
      <c r="S13" s="215"/>
      <c r="T13" s="215"/>
      <c r="U13" s="172"/>
      <c r="V13" s="158"/>
      <c r="W13" s="150"/>
      <c r="X13" s="150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</row>
    <row r="14" spans="1:66" ht="12">
      <c r="A14" s="245" t="s">
        <v>105</v>
      </c>
      <c r="B14" s="215">
        <f aca="true" t="shared" si="1" ref="B14:T16">+B39+B64</f>
        <v>0</v>
      </c>
      <c r="C14" s="215">
        <f t="shared" si="1"/>
        <v>0</v>
      </c>
      <c r="D14" s="215">
        <f t="shared" si="1"/>
        <v>0</v>
      </c>
      <c r="E14" s="215">
        <f t="shared" si="1"/>
        <v>0</v>
      </c>
      <c r="F14" s="215">
        <f t="shared" si="1"/>
        <v>0</v>
      </c>
      <c r="G14" s="215">
        <f t="shared" si="1"/>
        <v>0</v>
      </c>
      <c r="H14" s="215">
        <f t="shared" si="1"/>
        <v>0</v>
      </c>
      <c r="I14" s="215">
        <f t="shared" si="1"/>
        <v>0</v>
      </c>
      <c r="J14" s="215">
        <f t="shared" si="1"/>
        <v>0</v>
      </c>
      <c r="K14" s="215">
        <f t="shared" si="1"/>
        <v>0</v>
      </c>
      <c r="L14" s="215">
        <f t="shared" si="1"/>
        <v>0</v>
      </c>
      <c r="M14" s="215">
        <f t="shared" si="1"/>
        <v>0</v>
      </c>
      <c r="N14" s="215">
        <f t="shared" si="1"/>
        <v>0</v>
      </c>
      <c r="O14" s="215">
        <f t="shared" si="1"/>
        <v>0</v>
      </c>
      <c r="P14" s="215">
        <f t="shared" si="1"/>
        <v>0</v>
      </c>
      <c r="Q14" s="215">
        <f t="shared" si="1"/>
        <v>0</v>
      </c>
      <c r="R14" s="215">
        <f t="shared" si="1"/>
        <v>0</v>
      </c>
      <c r="S14" s="215">
        <f t="shared" si="1"/>
        <v>0</v>
      </c>
      <c r="T14" s="215">
        <f t="shared" si="1"/>
        <v>0</v>
      </c>
      <c r="U14" s="172">
        <f>SUM(B14:T14)</f>
        <v>0</v>
      </c>
      <c r="V14" s="158"/>
      <c r="W14" s="150"/>
      <c r="X14" s="150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</row>
    <row r="15" spans="1:66" s="248" customFormat="1" ht="12">
      <c r="A15" s="245" t="s">
        <v>115</v>
      </c>
      <c r="B15" s="215">
        <f t="shared" si="1"/>
        <v>1</v>
      </c>
      <c r="C15" s="215">
        <f t="shared" si="1"/>
        <v>0</v>
      </c>
      <c r="D15" s="215">
        <f t="shared" si="1"/>
        <v>0</v>
      </c>
      <c r="E15" s="215">
        <f t="shared" si="1"/>
        <v>2</v>
      </c>
      <c r="F15" s="215">
        <f t="shared" si="1"/>
        <v>2</v>
      </c>
      <c r="G15" s="215">
        <f t="shared" si="1"/>
        <v>0</v>
      </c>
      <c r="H15" s="215">
        <f t="shared" si="1"/>
        <v>1</v>
      </c>
      <c r="I15" s="215">
        <f t="shared" si="1"/>
        <v>2</v>
      </c>
      <c r="J15" s="215">
        <f t="shared" si="1"/>
        <v>0</v>
      </c>
      <c r="K15" s="215">
        <f t="shared" si="1"/>
        <v>0</v>
      </c>
      <c r="L15" s="215">
        <f t="shared" si="1"/>
        <v>1</v>
      </c>
      <c r="M15" s="215">
        <f t="shared" si="1"/>
        <v>0</v>
      </c>
      <c r="N15" s="215">
        <f t="shared" si="1"/>
        <v>0</v>
      </c>
      <c r="O15" s="215">
        <f t="shared" si="1"/>
        <v>0</v>
      </c>
      <c r="P15" s="215">
        <f t="shared" si="1"/>
        <v>0</v>
      </c>
      <c r="Q15" s="215">
        <f t="shared" si="1"/>
        <v>0</v>
      </c>
      <c r="R15" s="215">
        <f t="shared" si="1"/>
        <v>0</v>
      </c>
      <c r="S15" s="215">
        <f t="shared" si="1"/>
        <v>0</v>
      </c>
      <c r="T15" s="215">
        <f t="shared" si="1"/>
        <v>0</v>
      </c>
      <c r="U15" s="172">
        <f>SUM(B15:T15)</f>
        <v>9</v>
      </c>
      <c r="V15" s="164"/>
      <c r="W15" s="150"/>
      <c r="X15" s="150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247"/>
      <c r="BC15" s="247"/>
      <c r="BD15" s="247"/>
      <c r="BE15" s="247"/>
      <c r="BF15" s="247"/>
      <c r="BG15" s="247"/>
      <c r="BH15" s="247"/>
      <c r="BI15" s="247"/>
      <c r="BJ15" s="247"/>
      <c r="BK15" s="247"/>
      <c r="BL15" s="247"/>
      <c r="BM15" s="247"/>
      <c r="BN15" s="247"/>
    </row>
    <row r="16" spans="1:66" ht="12">
      <c r="A16" s="245" t="s">
        <v>107</v>
      </c>
      <c r="B16" s="215">
        <f t="shared" si="1"/>
        <v>1</v>
      </c>
      <c r="C16" s="215">
        <f t="shared" si="1"/>
        <v>0</v>
      </c>
      <c r="D16" s="215">
        <f t="shared" si="1"/>
        <v>0</v>
      </c>
      <c r="E16" s="215">
        <f t="shared" si="1"/>
        <v>2</v>
      </c>
      <c r="F16" s="215">
        <f t="shared" si="1"/>
        <v>2</v>
      </c>
      <c r="G16" s="215">
        <f t="shared" si="1"/>
        <v>0</v>
      </c>
      <c r="H16" s="215">
        <f t="shared" si="1"/>
        <v>1</v>
      </c>
      <c r="I16" s="215">
        <f t="shared" si="1"/>
        <v>2</v>
      </c>
      <c r="J16" s="215">
        <f t="shared" si="1"/>
        <v>0</v>
      </c>
      <c r="K16" s="215">
        <f t="shared" si="1"/>
        <v>0</v>
      </c>
      <c r="L16" s="215">
        <f t="shared" si="1"/>
        <v>1</v>
      </c>
      <c r="M16" s="215">
        <f t="shared" si="1"/>
        <v>0</v>
      </c>
      <c r="N16" s="215">
        <f t="shared" si="1"/>
        <v>0</v>
      </c>
      <c r="O16" s="215">
        <f t="shared" si="1"/>
        <v>0</v>
      </c>
      <c r="P16" s="215">
        <f t="shared" si="1"/>
        <v>0</v>
      </c>
      <c r="Q16" s="215">
        <f t="shared" si="1"/>
        <v>0</v>
      </c>
      <c r="R16" s="215">
        <f t="shared" si="1"/>
        <v>0</v>
      </c>
      <c r="S16" s="215">
        <f t="shared" si="1"/>
        <v>0</v>
      </c>
      <c r="T16" s="215">
        <f t="shared" si="1"/>
        <v>0</v>
      </c>
      <c r="U16" s="217">
        <f>+U14+U15</f>
        <v>9</v>
      </c>
      <c r="V16" s="158"/>
      <c r="W16" s="150"/>
      <c r="X16" s="150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</row>
    <row r="17" spans="1:66" s="250" customFormat="1" ht="12">
      <c r="A17" s="244" t="s">
        <v>109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9"/>
      <c r="S17" s="163"/>
      <c r="T17" s="163"/>
      <c r="U17" s="172"/>
      <c r="V17" s="164"/>
      <c r="W17" s="150"/>
      <c r="X17" s="150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</row>
    <row r="18" spans="1:66" ht="13.5" customHeight="1">
      <c r="A18" s="245" t="s">
        <v>105</v>
      </c>
      <c r="B18" s="215">
        <f aca="true" t="shared" si="2" ref="B18:T20">+B43+B68</f>
        <v>978</v>
      </c>
      <c r="C18" s="215">
        <f t="shared" si="2"/>
        <v>114</v>
      </c>
      <c r="D18" s="215">
        <f t="shared" si="2"/>
        <v>394</v>
      </c>
      <c r="E18" s="215">
        <f t="shared" si="2"/>
        <v>409</v>
      </c>
      <c r="F18" s="215">
        <f t="shared" si="2"/>
        <v>4348</v>
      </c>
      <c r="G18" s="215">
        <f t="shared" si="2"/>
        <v>436</v>
      </c>
      <c r="H18" s="215">
        <f t="shared" si="2"/>
        <v>677</v>
      </c>
      <c r="I18" s="215">
        <f t="shared" si="2"/>
        <v>4731</v>
      </c>
      <c r="J18" s="215">
        <f t="shared" si="2"/>
        <v>5821</v>
      </c>
      <c r="K18" s="215">
        <f t="shared" si="2"/>
        <v>2217</v>
      </c>
      <c r="L18" s="215">
        <f t="shared" si="2"/>
        <v>2591</v>
      </c>
      <c r="M18" s="215">
        <f t="shared" si="2"/>
        <v>99</v>
      </c>
      <c r="N18" s="215">
        <f t="shared" si="2"/>
        <v>787</v>
      </c>
      <c r="O18" s="215">
        <f t="shared" si="2"/>
        <v>1925</v>
      </c>
      <c r="P18" s="215">
        <f t="shared" si="2"/>
        <v>2813</v>
      </c>
      <c r="Q18" s="215">
        <f t="shared" si="2"/>
        <v>1099</v>
      </c>
      <c r="R18" s="215">
        <f t="shared" si="2"/>
        <v>3795</v>
      </c>
      <c r="S18" s="215">
        <f t="shared" si="2"/>
        <v>361</v>
      </c>
      <c r="T18" s="215">
        <f t="shared" si="2"/>
        <v>522</v>
      </c>
      <c r="U18" s="172">
        <f>SUM(B18:T18)</f>
        <v>34117</v>
      </c>
      <c r="V18" s="167"/>
      <c r="W18" s="167"/>
      <c r="X18" s="167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6"/>
      <c r="BA18" s="246"/>
      <c r="BB18" s="246"/>
      <c r="BC18" s="246"/>
      <c r="BD18" s="246"/>
      <c r="BE18" s="246"/>
      <c r="BF18" s="246"/>
      <c r="BG18" s="246"/>
      <c r="BH18" s="246"/>
      <c r="BI18" s="246"/>
      <c r="BJ18" s="246"/>
      <c r="BK18" s="246"/>
      <c r="BL18" s="246"/>
      <c r="BM18" s="246"/>
      <c r="BN18" s="246"/>
    </row>
    <row r="19" spans="1:38" ht="12">
      <c r="A19" s="245" t="s">
        <v>115</v>
      </c>
      <c r="B19" s="215">
        <f t="shared" si="2"/>
        <v>368</v>
      </c>
      <c r="C19" s="215">
        <f>+C44+C69</f>
        <v>21</v>
      </c>
      <c r="D19" s="215">
        <f t="shared" si="2"/>
        <v>56</v>
      </c>
      <c r="E19" s="215">
        <f t="shared" si="2"/>
        <v>228</v>
      </c>
      <c r="F19" s="215">
        <f t="shared" si="2"/>
        <v>2261</v>
      </c>
      <c r="G19" s="215">
        <f t="shared" si="2"/>
        <v>79</v>
      </c>
      <c r="H19" s="215">
        <f t="shared" si="2"/>
        <v>516</v>
      </c>
      <c r="I19" s="215">
        <f t="shared" si="2"/>
        <v>2319</v>
      </c>
      <c r="J19" s="215">
        <f t="shared" si="2"/>
        <v>2614</v>
      </c>
      <c r="K19" s="215">
        <f t="shared" si="2"/>
        <v>717</v>
      </c>
      <c r="L19" s="215">
        <f t="shared" si="2"/>
        <v>579</v>
      </c>
      <c r="M19" s="215">
        <f t="shared" si="2"/>
        <v>52</v>
      </c>
      <c r="N19" s="215">
        <f t="shared" si="2"/>
        <v>213</v>
      </c>
      <c r="O19" s="215">
        <f t="shared" si="2"/>
        <v>1051</v>
      </c>
      <c r="P19" s="215">
        <f t="shared" si="2"/>
        <v>1232</v>
      </c>
      <c r="Q19" s="215">
        <f t="shared" si="2"/>
        <v>68</v>
      </c>
      <c r="R19" s="215">
        <f t="shared" si="2"/>
        <v>1320</v>
      </c>
      <c r="S19" s="215">
        <f t="shared" si="2"/>
        <v>108</v>
      </c>
      <c r="T19" s="215">
        <f t="shared" si="2"/>
        <v>35</v>
      </c>
      <c r="U19" s="172">
        <f>SUM(B19:T19)</f>
        <v>13837</v>
      </c>
      <c r="V19" s="167"/>
      <c r="W19" s="167"/>
      <c r="X19" s="167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</row>
    <row r="20" spans="1:66" ht="12">
      <c r="A20" s="245" t="s">
        <v>107</v>
      </c>
      <c r="B20" s="215">
        <f t="shared" si="2"/>
        <v>1346</v>
      </c>
      <c r="C20" s="215">
        <f t="shared" si="2"/>
        <v>135</v>
      </c>
      <c r="D20" s="215">
        <f t="shared" si="2"/>
        <v>450</v>
      </c>
      <c r="E20" s="215">
        <f t="shared" si="2"/>
        <v>637</v>
      </c>
      <c r="F20" s="215">
        <f t="shared" si="2"/>
        <v>6609</v>
      </c>
      <c r="G20" s="215">
        <f t="shared" si="2"/>
        <v>515</v>
      </c>
      <c r="H20" s="215">
        <f t="shared" si="2"/>
        <v>1193</v>
      </c>
      <c r="I20" s="215">
        <f t="shared" si="2"/>
        <v>7050</v>
      </c>
      <c r="J20" s="215">
        <f t="shared" si="2"/>
        <v>8435</v>
      </c>
      <c r="K20" s="215">
        <f t="shared" si="2"/>
        <v>2934</v>
      </c>
      <c r="L20" s="215">
        <f t="shared" si="2"/>
        <v>3170</v>
      </c>
      <c r="M20" s="215">
        <f t="shared" si="2"/>
        <v>151</v>
      </c>
      <c r="N20" s="215">
        <f t="shared" si="2"/>
        <v>1000</v>
      </c>
      <c r="O20" s="215">
        <f t="shared" si="2"/>
        <v>2976</v>
      </c>
      <c r="P20" s="215">
        <f t="shared" si="2"/>
        <v>4045</v>
      </c>
      <c r="Q20" s="215">
        <f t="shared" si="2"/>
        <v>1167</v>
      </c>
      <c r="R20" s="215">
        <f t="shared" si="2"/>
        <v>5115</v>
      </c>
      <c r="S20" s="215">
        <f t="shared" si="2"/>
        <v>469</v>
      </c>
      <c r="T20" s="215">
        <f t="shared" si="2"/>
        <v>557</v>
      </c>
      <c r="U20" s="217">
        <f>+U18+U19</f>
        <v>47954</v>
      </c>
      <c r="V20" s="158"/>
      <c r="W20" s="150"/>
      <c r="X20" s="150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6"/>
    </row>
    <row r="21" spans="1:38" ht="24">
      <c r="A21" s="244" t="s">
        <v>117</v>
      </c>
      <c r="B21" s="169"/>
      <c r="C21" s="170"/>
      <c r="D21" s="170"/>
      <c r="E21" s="170"/>
      <c r="F21" s="169"/>
      <c r="G21" s="169"/>
      <c r="H21" s="171"/>
      <c r="I21" s="169"/>
      <c r="J21" s="172"/>
      <c r="K21" s="170"/>
      <c r="L21" s="172"/>
      <c r="M21" s="172"/>
      <c r="N21" s="170"/>
      <c r="O21" s="169"/>
      <c r="P21" s="172"/>
      <c r="Q21" s="170"/>
      <c r="R21" s="169"/>
      <c r="S21" s="169"/>
      <c r="T21" s="169"/>
      <c r="U21" s="172"/>
      <c r="V21" s="171"/>
      <c r="W21" s="171"/>
      <c r="X21" s="171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</row>
    <row r="22" spans="1:38" ht="12">
      <c r="A22" s="245" t="s">
        <v>105</v>
      </c>
      <c r="B22" s="215">
        <f aca="true" t="shared" si="3" ref="B22:T24">+B47+B72</f>
        <v>204</v>
      </c>
      <c r="C22" s="215">
        <f t="shared" si="3"/>
        <v>0</v>
      </c>
      <c r="D22" s="215">
        <f t="shared" si="3"/>
        <v>154</v>
      </c>
      <c r="E22" s="215">
        <f t="shared" si="3"/>
        <v>189</v>
      </c>
      <c r="F22" s="215">
        <f t="shared" si="3"/>
        <v>1391</v>
      </c>
      <c r="G22" s="215">
        <f t="shared" si="3"/>
        <v>56</v>
      </c>
      <c r="H22" s="215">
        <f t="shared" si="3"/>
        <v>0</v>
      </c>
      <c r="I22" s="215">
        <f t="shared" si="3"/>
        <v>1992</v>
      </c>
      <c r="J22" s="215">
        <f t="shared" si="3"/>
        <v>2168</v>
      </c>
      <c r="K22" s="215">
        <f t="shared" si="3"/>
        <v>380</v>
      </c>
      <c r="L22" s="215">
        <f t="shared" si="3"/>
        <v>90</v>
      </c>
      <c r="M22" s="215">
        <f t="shared" si="3"/>
        <v>75</v>
      </c>
      <c r="N22" s="215">
        <f t="shared" si="3"/>
        <v>584</v>
      </c>
      <c r="O22" s="215">
        <f t="shared" si="3"/>
        <v>561</v>
      </c>
      <c r="P22" s="215">
        <f t="shared" si="3"/>
        <v>1105</v>
      </c>
      <c r="Q22" s="215">
        <f t="shared" si="3"/>
        <v>217</v>
      </c>
      <c r="R22" s="215">
        <f t="shared" si="3"/>
        <v>1083</v>
      </c>
      <c r="S22" s="215">
        <f t="shared" si="3"/>
        <v>297</v>
      </c>
      <c r="T22" s="215">
        <f t="shared" si="3"/>
        <v>223</v>
      </c>
      <c r="U22" s="172">
        <f>SUM(B22:T22)</f>
        <v>10769</v>
      </c>
      <c r="V22" s="150"/>
      <c r="W22" s="150"/>
      <c r="X22" s="150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</row>
    <row r="23" spans="1:38" ht="12">
      <c r="A23" s="245" t="s">
        <v>115</v>
      </c>
      <c r="B23" s="215">
        <f t="shared" si="3"/>
        <v>41</v>
      </c>
      <c r="C23" s="215">
        <f t="shared" si="3"/>
        <v>0</v>
      </c>
      <c r="D23" s="215">
        <f t="shared" si="3"/>
        <v>6</v>
      </c>
      <c r="E23" s="215">
        <f t="shared" si="3"/>
        <v>85</v>
      </c>
      <c r="F23" s="215">
        <f t="shared" si="3"/>
        <v>317</v>
      </c>
      <c r="G23" s="215">
        <f t="shared" si="3"/>
        <v>4</v>
      </c>
      <c r="H23" s="215">
        <f t="shared" si="3"/>
        <v>182</v>
      </c>
      <c r="I23" s="215">
        <f t="shared" si="3"/>
        <v>803</v>
      </c>
      <c r="J23" s="215">
        <f t="shared" si="3"/>
        <v>999</v>
      </c>
      <c r="K23" s="215">
        <f t="shared" si="3"/>
        <v>129</v>
      </c>
      <c r="L23" s="215">
        <f t="shared" si="3"/>
        <v>8</v>
      </c>
      <c r="M23" s="215">
        <f t="shared" si="3"/>
        <v>24</v>
      </c>
      <c r="N23" s="215">
        <f t="shared" si="3"/>
        <v>135</v>
      </c>
      <c r="O23" s="215">
        <f t="shared" si="3"/>
        <v>252</v>
      </c>
      <c r="P23" s="215">
        <f t="shared" si="3"/>
        <v>342</v>
      </c>
      <c r="Q23" s="215">
        <f t="shared" si="3"/>
        <v>9</v>
      </c>
      <c r="R23" s="215">
        <f t="shared" si="3"/>
        <v>335</v>
      </c>
      <c r="S23" s="215">
        <f t="shared" si="3"/>
        <v>99</v>
      </c>
      <c r="T23" s="215">
        <f t="shared" si="3"/>
        <v>32</v>
      </c>
      <c r="U23" s="172">
        <f>SUM(B23:T23)</f>
        <v>3802</v>
      </c>
      <c r="V23" s="164"/>
      <c r="W23" s="164"/>
      <c r="X23" s="164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</row>
    <row r="24" spans="1:66" ht="12">
      <c r="A24" s="245" t="s">
        <v>107</v>
      </c>
      <c r="B24" s="215">
        <f t="shared" si="3"/>
        <v>245</v>
      </c>
      <c r="C24" s="215">
        <f t="shared" si="3"/>
        <v>0</v>
      </c>
      <c r="D24" s="215">
        <f t="shared" si="3"/>
        <v>160</v>
      </c>
      <c r="E24" s="215">
        <f t="shared" si="3"/>
        <v>274</v>
      </c>
      <c r="F24" s="215">
        <f t="shared" si="3"/>
        <v>1708</v>
      </c>
      <c r="G24" s="215">
        <f t="shared" si="3"/>
        <v>60</v>
      </c>
      <c r="H24" s="215">
        <f t="shared" si="3"/>
        <v>182</v>
      </c>
      <c r="I24" s="215">
        <f t="shared" si="3"/>
        <v>2795</v>
      </c>
      <c r="J24" s="215">
        <f t="shared" si="3"/>
        <v>3167</v>
      </c>
      <c r="K24" s="215">
        <f t="shared" si="3"/>
        <v>509</v>
      </c>
      <c r="L24" s="215">
        <f t="shared" si="3"/>
        <v>98</v>
      </c>
      <c r="M24" s="215">
        <f t="shared" si="3"/>
        <v>99</v>
      </c>
      <c r="N24" s="215">
        <f t="shared" si="3"/>
        <v>719</v>
      </c>
      <c r="O24" s="215">
        <f t="shared" si="3"/>
        <v>813</v>
      </c>
      <c r="P24" s="215">
        <f t="shared" si="3"/>
        <v>1447</v>
      </c>
      <c r="Q24" s="215">
        <f t="shared" si="3"/>
        <v>226</v>
      </c>
      <c r="R24" s="215">
        <f t="shared" si="3"/>
        <v>1418</v>
      </c>
      <c r="S24" s="215">
        <f t="shared" si="3"/>
        <v>396</v>
      </c>
      <c r="T24" s="215">
        <f t="shared" si="3"/>
        <v>255</v>
      </c>
      <c r="U24" s="217">
        <f>+U22+U23</f>
        <v>14571</v>
      </c>
      <c r="V24" s="158"/>
      <c r="W24" s="150"/>
      <c r="X24" s="150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  <c r="BG24" s="246"/>
      <c r="BH24" s="246"/>
      <c r="BI24" s="246"/>
      <c r="BJ24" s="246"/>
      <c r="BK24" s="246"/>
      <c r="BL24" s="246"/>
      <c r="BM24" s="246"/>
      <c r="BN24" s="246"/>
    </row>
    <row r="25" spans="1:38" ht="12">
      <c r="A25" s="244" t="s">
        <v>111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72"/>
      <c r="V25" s="163"/>
      <c r="W25" s="163"/>
      <c r="X25" s="163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</row>
    <row r="26" spans="1:38" ht="12">
      <c r="A26" s="245" t="s">
        <v>105</v>
      </c>
      <c r="B26" s="215">
        <f>B51+B76</f>
        <v>0</v>
      </c>
      <c r="C26" s="215">
        <f aca="true" t="shared" si="4" ref="C26:U27">C51+C76</f>
        <v>590</v>
      </c>
      <c r="D26" s="215">
        <f t="shared" si="4"/>
        <v>0</v>
      </c>
      <c r="E26" s="215">
        <f t="shared" si="4"/>
        <v>0</v>
      </c>
      <c r="F26" s="215">
        <f t="shared" si="4"/>
        <v>0</v>
      </c>
      <c r="G26" s="215">
        <f t="shared" si="4"/>
        <v>2298</v>
      </c>
      <c r="H26" s="215">
        <f t="shared" si="4"/>
        <v>4711</v>
      </c>
      <c r="I26" s="215">
        <f t="shared" si="4"/>
        <v>748</v>
      </c>
      <c r="J26" s="215">
        <f t="shared" si="4"/>
        <v>0</v>
      </c>
      <c r="K26" s="215">
        <f t="shared" si="4"/>
        <v>0</v>
      </c>
      <c r="L26" s="215">
        <f t="shared" si="4"/>
        <v>2289</v>
      </c>
      <c r="M26" s="215">
        <f t="shared" si="4"/>
        <v>826</v>
      </c>
      <c r="N26" s="215">
        <f t="shared" si="4"/>
        <v>0</v>
      </c>
      <c r="O26" s="215">
        <f t="shared" si="4"/>
        <v>0</v>
      </c>
      <c r="P26" s="215">
        <f t="shared" si="4"/>
        <v>0</v>
      </c>
      <c r="Q26" s="215">
        <f t="shared" si="4"/>
        <v>0</v>
      </c>
      <c r="R26" s="215">
        <f t="shared" si="4"/>
        <v>0</v>
      </c>
      <c r="S26" s="215">
        <f t="shared" si="4"/>
        <v>0</v>
      </c>
      <c r="T26" s="215">
        <f t="shared" si="4"/>
        <v>0</v>
      </c>
      <c r="U26" s="215">
        <f t="shared" si="4"/>
        <v>11462</v>
      </c>
      <c r="V26" s="177"/>
      <c r="W26" s="177"/>
      <c r="X26" s="177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</row>
    <row r="27" spans="1:38" ht="12">
      <c r="A27" s="245" t="s">
        <v>115</v>
      </c>
      <c r="B27" s="215">
        <f>B52+B77</f>
        <v>0</v>
      </c>
      <c r="C27" s="215">
        <f t="shared" si="4"/>
        <v>29</v>
      </c>
      <c r="D27" s="215">
        <f t="shared" si="4"/>
        <v>0</v>
      </c>
      <c r="E27" s="215">
        <f t="shared" si="4"/>
        <v>0</v>
      </c>
      <c r="F27" s="215">
        <f t="shared" si="4"/>
        <v>0</v>
      </c>
      <c r="G27" s="215">
        <f t="shared" si="4"/>
        <v>375</v>
      </c>
      <c r="H27" s="215">
        <f t="shared" si="4"/>
        <v>1307</v>
      </c>
      <c r="I27" s="215">
        <f t="shared" si="4"/>
        <v>503</v>
      </c>
      <c r="J27" s="215">
        <f t="shared" si="4"/>
        <v>0</v>
      </c>
      <c r="K27" s="215">
        <f t="shared" si="4"/>
        <v>0</v>
      </c>
      <c r="L27" s="215">
        <f t="shared" si="4"/>
        <v>673</v>
      </c>
      <c r="M27" s="215">
        <f t="shared" si="4"/>
        <v>294</v>
      </c>
      <c r="N27" s="215">
        <f t="shared" si="4"/>
        <v>0</v>
      </c>
      <c r="O27" s="215">
        <f t="shared" si="4"/>
        <v>0</v>
      </c>
      <c r="P27" s="215">
        <f t="shared" si="4"/>
        <v>0</v>
      </c>
      <c r="Q27" s="215">
        <f t="shared" si="4"/>
        <v>0</v>
      </c>
      <c r="R27" s="215">
        <f t="shared" si="4"/>
        <v>0</v>
      </c>
      <c r="S27" s="215">
        <f t="shared" si="4"/>
        <v>0</v>
      </c>
      <c r="T27" s="215">
        <f t="shared" si="4"/>
        <v>0</v>
      </c>
      <c r="U27" s="215">
        <f t="shared" si="4"/>
        <v>3181</v>
      </c>
      <c r="V27" s="150"/>
      <c r="W27" s="150"/>
      <c r="X27" s="150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</row>
    <row r="28" spans="1:66" ht="12">
      <c r="A28" s="245" t="s">
        <v>107</v>
      </c>
      <c r="B28" s="215">
        <f>B26+B27</f>
        <v>0</v>
      </c>
      <c r="C28" s="215">
        <f aca="true" t="shared" si="5" ref="C28:T28">C26+C27</f>
        <v>619</v>
      </c>
      <c r="D28" s="215">
        <f t="shared" si="5"/>
        <v>0</v>
      </c>
      <c r="E28" s="215">
        <f t="shared" si="5"/>
        <v>0</v>
      </c>
      <c r="F28" s="215">
        <f t="shared" si="5"/>
        <v>0</v>
      </c>
      <c r="G28" s="215">
        <f t="shared" si="5"/>
        <v>2673</v>
      </c>
      <c r="H28" s="215">
        <f t="shared" si="5"/>
        <v>6018</v>
      </c>
      <c r="I28" s="215">
        <f t="shared" si="5"/>
        <v>1251</v>
      </c>
      <c r="J28" s="215">
        <f t="shared" si="5"/>
        <v>0</v>
      </c>
      <c r="K28" s="215">
        <f t="shared" si="5"/>
        <v>0</v>
      </c>
      <c r="L28" s="215">
        <f t="shared" si="5"/>
        <v>2962</v>
      </c>
      <c r="M28" s="215">
        <f t="shared" si="5"/>
        <v>1120</v>
      </c>
      <c r="N28" s="215">
        <f t="shared" si="5"/>
        <v>0</v>
      </c>
      <c r="O28" s="215">
        <f t="shared" si="5"/>
        <v>0</v>
      </c>
      <c r="P28" s="215">
        <f t="shared" si="5"/>
        <v>0</v>
      </c>
      <c r="Q28" s="215">
        <f t="shared" si="5"/>
        <v>0</v>
      </c>
      <c r="R28" s="215">
        <f t="shared" si="5"/>
        <v>0</v>
      </c>
      <c r="S28" s="215">
        <f t="shared" si="5"/>
        <v>0</v>
      </c>
      <c r="T28" s="215">
        <f t="shared" si="5"/>
        <v>0</v>
      </c>
      <c r="U28" s="217">
        <f>+U26+U27</f>
        <v>14643</v>
      </c>
      <c r="V28" s="158"/>
      <c r="W28" s="150"/>
      <c r="X28" s="150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  <c r="BG28" s="246"/>
      <c r="BH28" s="246"/>
      <c r="BI28" s="246"/>
      <c r="BJ28" s="246"/>
      <c r="BK28" s="246"/>
      <c r="BL28" s="246"/>
      <c r="BM28" s="246"/>
      <c r="BN28" s="246"/>
    </row>
    <row r="29" spans="1:38" ht="12">
      <c r="A29" s="244" t="s">
        <v>112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51"/>
      <c r="V29" s="150"/>
      <c r="W29" s="150"/>
      <c r="X29" s="150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</row>
    <row r="30" spans="1:24" ht="12">
      <c r="A30" s="245" t="s">
        <v>105</v>
      </c>
      <c r="B30" s="223">
        <f>+B26+B22+B18+B14+B10</f>
        <v>1182</v>
      </c>
      <c r="C30" s="223">
        <f aca="true" t="shared" si="6" ref="C30:T31">+C26+C22+C18+C14+C10</f>
        <v>704</v>
      </c>
      <c r="D30" s="223">
        <f t="shared" si="6"/>
        <v>548</v>
      </c>
      <c r="E30" s="223">
        <f t="shared" si="6"/>
        <v>598</v>
      </c>
      <c r="F30" s="223">
        <f t="shared" si="6"/>
        <v>5739</v>
      </c>
      <c r="G30" s="223">
        <f t="shared" si="6"/>
        <v>2799</v>
      </c>
      <c r="H30" s="223">
        <f t="shared" si="6"/>
        <v>5388</v>
      </c>
      <c r="I30" s="223">
        <f t="shared" si="6"/>
        <v>7471</v>
      </c>
      <c r="J30" s="223">
        <f t="shared" si="6"/>
        <v>7989</v>
      </c>
      <c r="K30" s="223">
        <f t="shared" si="6"/>
        <v>2597</v>
      </c>
      <c r="L30" s="223">
        <f t="shared" si="6"/>
        <v>4970</v>
      </c>
      <c r="M30" s="223">
        <f t="shared" si="6"/>
        <v>1000</v>
      </c>
      <c r="N30" s="223">
        <f t="shared" si="6"/>
        <v>1371</v>
      </c>
      <c r="O30" s="223">
        <f t="shared" si="6"/>
        <v>3370</v>
      </c>
      <c r="P30" s="223">
        <f t="shared" si="6"/>
        <v>3919</v>
      </c>
      <c r="Q30" s="223">
        <f t="shared" si="6"/>
        <v>1317</v>
      </c>
      <c r="R30" s="223">
        <f t="shared" si="6"/>
        <v>4878</v>
      </c>
      <c r="S30" s="223">
        <f t="shared" si="6"/>
        <v>658</v>
      </c>
      <c r="T30" s="223">
        <f t="shared" si="6"/>
        <v>745</v>
      </c>
      <c r="U30" s="223">
        <f>+U26+U22+U18+U14+U10</f>
        <v>57243</v>
      </c>
      <c r="V30" s="181"/>
      <c r="W30" s="181"/>
      <c r="X30" s="181"/>
    </row>
    <row r="31" spans="1:24" ht="12">
      <c r="A31" s="245" t="s">
        <v>115</v>
      </c>
      <c r="B31" s="223">
        <f>+B27+B23+B19+B15+B11</f>
        <v>468</v>
      </c>
      <c r="C31" s="223">
        <f t="shared" si="6"/>
        <v>50</v>
      </c>
      <c r="D31" s="223">
        <f t="shared" si="6"/>
        <v>70</v>
      </c>
      <c r="E31" s="223">
        <f t="shared" si="6"/>
        <v>420</v>
      </c>
      <c r="F31" s="223">
        <f t="shared" si="6"/>
        <v>2822</v>
      </c>
      <c r="G31" s="223">
        <f t="shared" si="6"/>
        <v>564</v>
      </c>
      <c r="H31" s="223">
        <f t="shared" si="6"/>
        <v>2886</v>
      </c>
      <c r="I31" s="223">
        <f t="shared" si="6"/>
        <v>4143</v>
      </c>
      <c r="J31" s="223">
        <f t="shared" si="6"/>
        <v>4502</v>
      </c>
      <c r="K31" s="223">
        <f t="shared" si="6"/>
        <v>967</v>
      </c>
      <c r="L31" s="223">
        <f t="shared" si="6"/>
        <v>1385</v>
      </c>
      <c r="M31" s="223">
        <f t="shared" si="6"/>
        <v>410</v>
      </c>
      <c r="N31" s="223">
        <f t="shared" si="6"/>
        <v>428</v>
      </c>
      <c r="O31" s="223">
        <f t="shared" si="6"/>
        <v>1964</v>
      </c>
      <c r="P31" s="223">
        <f t="shared" si="6"/>
        <v>1781</v>
      </c>
      <c r="Q31" s="223">
        <f t="shared" si="6"/>
        <v>144</v>
      </c>
      <c r="R31" s="223">
        <f t="shared" si="6"/>
        <v>2030</v>
      </c>
      <c r="S31" s="223">
        <f t="shared" si="6"/>
        <v>227</v>
      </c>
      <c r="T31" s="223">
        <f t="shared" si="6"/>
        <v>73</v>
      </c>
      <c r="U31" s="223">
        <f>+U27+U23+U19+U15+U11</f>
        <v>25334</v>
      </c>
      <c r="V31" s="181"/>
      <c r="W31" s="181"/>
      <c r="X31" s="181"/>
    </row>
    <row r="32" spans="1:66" ht="12">
      <c r="A32" s="245" t="s">
        <v>107</v>
      </c>
      <c r="B32" s="217">
        <f aca="true" t="shared" si="7" ref="B32:U32">+B30+B31</f>
        <v>1650</v>
      </c>
      <c r="C32" s="217">
        <f t="shared" si="7"/>
        <v>754</v>
      </c>
      <c r="D32" s="217">
        <f t="shared" si="7"/>
        <v>618</v>
      </c>
      <c r="E32" s="217">
        <f t="shared" si="7"/>
        <v>1018</v>
      </c>
      <c r="F32" s="217">
        <f t="shared" si="7"/>
        <v>8561</v>
      </c>
      <c r="G32" s="217">
        <f t="shared" si="7"/>
        <v>3363</v>
      </c>
      <c r="H32" s="217">
        <f t="shared" si="7"/>
        <v>8274</v>
      </c>
      <c r="I32" s="217">
        <f t="shared" si="7"/>
        <v>11614</v>
      </c>
      <c r="J32" s="217">
        <f t="shared" si="7"/>
        <v>12491</v>
      </c>
      <c r="K32" s="217">
        <f t="shared" si="7"/>
        <v>3564</v>
      </c>
      <c r="L32" s="217">
        <f t="shared" si="7"/>
        <v>6355</v>
      </c>
      <c r="M32" s="217">
        <f t="shared" si="7"/>
        <v>1410</v>
      </c>
      <c r="N32" s="217">
        <f t="shared" si="7"/>
        <v>1799</v>
      </c>
      <c r="O32" s="217">
        <f t="shared" si="7"/>
        <v>5334</v>
      </c>
      <c r="P32" s="217">
        <f t="shared" si="7"/>
        <v>5700</v>
      </c>
      <c r="Q32" s="217">
        <f t="shared" si="7"/>
        <v>1461</v>
      </c>
      <c r="R32" s="217">
        <f t="shared" si="7"/>
        <v>6908</v>
      </c>
      <c r="S32" s="217">
        <f t="shared" si="7"/>
        <v>885</v>
      </c>
      <c r="T32" s="217">
        <f t="shared" si="7"/>
        <v>818</v>
      </c>
      <c r="U32" s="217">
        <f t="shared" si="7"/>
        <v>82577</v>
      </c>
      <c r="V32" s="158"/>
      <c r="W32" s="150"/>
      <c r="X32" s="150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</row>
    <row r="33" spans="2:21" s="135" customFormat="1" ht="12">
      <c r="B33" s="218"/>
      <c r="C33" s="218"/>
      <c r="E33" s="218"/>
      <c r="F33" s="218"/>
      <c r="G33" s="218"/>
      <c r="H33" s="218"/>
      <c r="I33" s="218"/>
      <c r="J33" s="218"/>
      <c r="K33" s="218" t="s">
        <v>114</v>
      </c>
      <c r="L33" s="218"/>
      <c r="M33" s="218"/>
      <c r="N33" s="218"/>
      <c r="O33" s="218"/>
      <c r="P33" s="252"/>
      <c r="Q33" s="218"/>
      <c r="R33" s="218"/>
      <c r="S33" s="218"/>
      <c r="T33" s="218"/>
      <c r="U33" s="218"/>
    </row>
    <row r="34" spans="1:66" s="120" customFormat="1" ht="12">
      <c r="A34" s="244" t="s">
        <v>104</v>
      </c>
      <c r="B34" s="215"/>
      <c r="C34" s="215"/>
      <c r="D34" s="169"/>
      <c r="E34" s="169"/>
      <c r="F34" s="169"/>
      <c r="G34" s="169"/>
      <c r="H34" s="215"/>
      <c r="I34" s="169"/>
      <c r="J34" s="169"/>
      <c r="K34" s="215"/>
      <c r="L34" s="169"/>
      <c r="M34" s="169"/>
      <c r="N34" s="169"/>
      <c r="O34" s="169"/>
      <c r="P34" s="169"/>
      <c r="Q34" s="169"/>
      <c r="R34" s="215"/>
      <c r="S34" s="215"/>
      <c r="T34" s="215"/>
      <c r="U34" s="172"/>
      <c r="V34" s="150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</row>
    <row r="35" spans="1:66" ht="12">
      <c r="A35" s="245" t="s">
        <v>105</v>
      </c>
      <c r="B35" s="215"/>
      <c r="C35" s="219"/>
      <c r="D35" s="219"/>
      <c r="E35" s="219"/>
      <c r="F35" s="169"/>
      <c r="G35" s="253">
        <v>3</v>
      </c>
      <c r="H35" s="253"/>
      <c r="I35" s="169"/>
      <c r="J35" s="253"/>
      <c r="K35" s="253"/>
      <c r="L35" s="253"/>
      <c r="M35" s="253"/>
      <c r="N35" s="169"/>
      <c r="O35" s="169">
        <v>55</v>
      </c>
      <c r="P35" s="253"/>
      <c r="Q35" s="253">
        <v>0</v>
      </c>
      <c r="R35" s="215"/>
      <c r="S35" s="215"/>
      <c r="T35" s="253"/>
      <c r="U35" s="172">
        <f>SUM(B35:T35)</f>
        <v>58</v>
      </c>
      <c r="V35" s="150"/>
      <c r="W35" s="150"/>
      <c r="X35" s="150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/>
      <c r="BL35" s="246"/>
      <c r="BM35" s="246"/>
      <c r="BN35" s="246"/>
    </row>
    <row r="36" spans="1:66" ht="12">
      <c r="A36" s="245" t="s">
        <v>115</v>
      </c>
      <c r="B36" s="215">
        <v>41</v>
      </c>
      <c r="C36" s="219">
        <v>0</v>
      </c>
      <c r="D36" s="219">
        <v>6</v>
      </c>
      <c r="E36" s="219">
        <v>25</v>
      </c>
      <c r="F36" s="169">
        <v>130</v>
      </c>
      <c r="G36" s="253">
        <v>27</v>
      </c>
      <c r="H36" s="169">
        <v>369</v>
      </c>
      <c r="I36" s="169">
        <v>429</v>
      </c>
      <c r="J36" s="169">
        <v>352</v>
      </c>
      <c r="K36" s="253">
        <v>11</v>
      </c>
      <c r="L36" s="253">
        <v>71</v>
      </c>
      <c r="M36" s="253">
        <v>10</v>
      </c>
      <c r="N36" s="169">
        <v>20</v>
      </c>
      <c r="O36" s="253">
        <v>58</v>
      </c>
      <c r="P36" s="169">
        <v>109</v>
      </c>
      <c r="Q36" s="253">
        <v>33</v>
      </c>
      <c r="R36" s="215">
        <v>174</v>
      </c>
      <c r="S36" s="215">
        <v>11</v>
      </c>
      <c r="T36" s="253">
        <v>1</v>
      </c>
      <c r="U36" s="172">
        <f>SUM(B36:T36)</f>
        <v>1877</v>
      </c>
      <c r="V36" s="150"/>
      <c r="W36" s="150"/>
      <c r="X36" s="150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/>
      <c r="BK36" s="246"/>
      <c r="BL36" s="246"/>
      <c r="BM36" s="246"/>
      <c r="BN36" s="246"/>
    </row>
    <row r="37" spans="1:66" ht="12">
      <c r="A37" s="245" t="s">
        <v>107</v>
      </c>
      <c r="B37" s="217">
        <f aca="true" t="shared" si="8" ref="B37:U37">+B35+B36</f>
        <v>41</v>
      </c>
      <c r="C37" s="217">
        <f t="shared" si="8"/>
        <v>0</v>
      </c>
      <c r="D37" s="217">
        <f t="shared" si="8"/>
        <v>6</v>
      </c>
      <c r="E37" s="217">
        <f t="shared" si="8"/>
        <v>25</v>
      </c>
      <c r="F37" s="217">
        <f t="shared" si="8"/>
        <v>130</v>
      </c>
      <c r="G37" s="217">
        <f t="shared" si="8"/>
        <v>30</v>
      </c>
      <c r="H37" s="217">
        <f t="shared" si="8"/>
        <v>369</v>
      </c>
      <c r="I37" s="217">
        <f t="shared" si="8"/>
        <v>429</v>
      </c>
      <c r="J37" s="217">
        <f t="shared" si="8"/>
        <v>352</v>
      </c>
      <c r="K37" s="217">
        <f t="shared" si="8"/>
        <v>11</v>
      </c>
      <c r="L37" s="217">
        <f t="shared" si="8"/>
        <v>71</v>
      </c>
      <c r="M37" s="217">
        <f t="shared" si="8"/>
        <v>10</v>
      </c>
      <c r="N37" s="217">
        <f t="shared" si="8"/>
        <v>20</v>
      </c>
      <c r="O37" s="217">
        <f t="shared" si="8"/>
        <v>113</v>
      </c>
      <c r="P37" s="217">
        <f t="shared" si="8"/>
        <v>109</v>
      </c>
      <c r="Q37" s="217">
        <f t="shared" si="8"/>
        <v>33</v>
      </c>
      <c r="R37" s="217">
        <f t="shared" si="8"/>
        <v>174</v>
      </c>
      <c r="S37" s="217">
        <f t="shared" si="8"/>
        <v>11</v>
      </c>
      <c r="T37" s="217">
        <f t="shared" si="8"/>
        <v>1</v>
      </c>
      <c r="U37" s="217">
        <f t="shared" si="8"/>
        <v>1935</v>
      </c>
      <c r="V37" s="158"/>
      <c r="W37" s="150"/>
      <c r="X37" s="150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  <c r="BC37" s="246"/>
      <c r="BD37" s="246"/>
      <c r="BE37" s="246"/>
      <c r="BF37" s="246"/>
      <c r="BG37" s="246"/>
      <c r="BH37" s="246"/>
      <c r="BI37" s="246"/>
      <c r="BJ37" s="246"/>
      <c r="BK37" s="246"/>
      <c r="BL37" s="246"/>
      <c r="BM37" s="246"/>
      <c r="BN37" s="246"/>
    </row>
    <row r="38" spans="1:66" ht="12">
      <c r="A38" s="244" t="s">
        <v>108</v>
      </c>
      <c r="B38" s="215"/>
      <c r="C38" s="169"/>
      <c r="D38" s="169"/>
      <c r="E38" s="169"/>
      <c r="F38" s="169"/>
      <c r="G38" s="169"/>
      <c r="H38" s="215"/>
      <c r="I38" s="169"/>
      <c r="J38" s="169"/>
      <c r="K38" s="215"/>
      <c r="L38" s="169"/>
      <c r="M38" s="169"/>
      <c r="N38" s="169"/>
      <c r="O38" s="169"/>
      <c r="P38" s="169"/>
      <c r="Q38" s="169"/>
      <c r="R38" s="215"/>
      <c r="S38" s="215"/>
      <c r="T38" s="215"/>
      <c r="U38" s="172"/>
      <c r="V38" s="158"/>
      <c r="W38" s="150"/>
      <c r="X38" s="150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246"/>
      <c r="BA38" s="246"/>
      <c r="BB38" s="246"/>
      <c r="BC38" s="246"/>
      <c r="BD38" s="246"/>
      <c r="BE38" s="246"/>
      <c r="BF38" s="246"/>
      <c r="BG38" s="246"/>
      <c r="BH38" s="246"/>
      <c r="BI38" s="246"/>
      <c r="BJ38" s="246"/>
      <c r="BK38" s="246"/>
      <c r="BL38" s="246"/>
      <c r="BM38" s="246"/>
      <c r="BN38" s="246"/>
    </row>
    <row r="39" spans="1:66" ht="12">
      <c r="A39" s="245" t="s">
        <v>105</v>
      </c>
      <c r="B39" s="215"/>
      <c r="C39" s="219"/>
      <c r="D39" s="219"/>
      <c r="E39" s="219"/>
      <c r="F39" s="169"/>
      <c r="G39" s="253"/>
      <c r="H39" s="253"/>
      <c r="I39" s="169"/>
      <c r="J39" s="253"/>
      <c r="K39" s="253"/>
      <c r="L39" s="253"/>
      <c r="M39" s="253"/>
      <c r="N39" s="169"/>
      <c r="O39" s="169"/>
      <c r="P39" s="253"/>
      <c r="Q39" s="253"/>
      <c r="R39" s="215"/>
      <c r="S39" s="215"/>
      <c r="T39" s="253"/>
      <c r="U39" s="172">
        <f>SUM(B39:T39)</f>
        <v>0</v>
      </c>
      <c r="V39" s="158"/>
      <c r="W39" s="150"/>
      <c r="X39" s="150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  <c r="BA39" s="246"/>
      <c r="BB39" s="246"/>
      <c r="BC39" s="246"/>
      <c r="BD39" s="246"/>
      <c r="BE39" s="246"/>
      <c r="BF39" s="246"/>
      <c r="BG39" s="246"/>
      <c r="BH39" s="246"/>
      <c r="BI39" s="246"/>
      <c r="BJ39" s="246"/>
      <c r="BK39" s="246"/>
      <c r="BL39" s="246"/>
      <c r="BM39" s="246"/>
      <c r="BN39" s="246"/>
    </row>
    <row r="40" spans="1:66" s="248" customFormat="1" ht="12">
      <c r="A40" s="245" t="s">
        <v>115</v>
      </c>
      <c r="B40" s="215">
        <v>1</v>
      </c>
      <c r="C40" s="219"/>
      <c r="D40" s="219"/>
      <c r="E40" s="219">
        <v>0</v>
      </c>
      <c r="F40" s="169">
        <v>1</v>
      </c>
      <c r="G40" s="253"/>
      <c r="H40" s="169"/>
      <c r="I40" s="169">
        <v>2</v>
      </c>
      <c r="J40" s="169"/>
      <c r="K40" s="253"/>
      <c r="L40" s="253">
        <v>1</v>
      </c>
      <c r="M40" s="253">
        <v>0</v>
      </c>
      <c r="N40" s="169"/>
      <c r="O40" s="253">
        <v>0</v>
      </c>
      <c r="P40" s="169"/>
      <c r="Q40" s="253"/>
      <c r="R40" s="215">
        <v>0</v>
      </c>
      <c r="S40" s="215">
        <v>0</v>
      </c>
      <c r="T40" s="253"/>
      <c r="U40" s="172">
        <f>SUM(B40:T40)</f>
        <v>5</v>
      </c>
      <c r="V40" s="164"/>
      <c r="W40" s="150"/>
      <c r="X40" s="150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7"/>
      <c r="AS40" s="247"/>
      <c r="AT40" s="247"/>
      <c r="AU40" s="247"/>
      <c r="AV40" s="247"/>
      <c r="AW40" s="247"/>
      <c r="AX40" s="247"/>
      <c r="AY40" s="247"/>
      <c r="AZ40" s="247"/>
      <c r="BA40" s="247"/>
      <c r="BB40" s="247"/>
      <c r="BC40" s="247"/>
      <c r="BD40" s="247"/>
      <c r="BE40" s="247"/>
      <c r="BF40" s="247"/>
      <c r="BG40" s="247"/>
      <c r="BH40" s="247"/>
      <c r="BI40" s="247"/>
      <c r="BJ40" s="247"/>
      <c r="BK40" s="247"/>
      <c r="BL40" s="247"/>
      <c r="BM40" s="247"/>
      <c r="BN40" s="247"/>
    </row>
    <row r="41" spans="1:66" ht="12">
      <c r="A41" s="245" t="s">
        <v>107</v>
      </c>
      <c r="B41" s="217">
        <f aca="true" t="shared" si="9" ref="B41:U41">+B39+B40</f>
        <v>1</v>
      </c>
      <c r="C41" s="217">
        <f t="shared" si="9"/>
        <v>0</v>
      </c>
      <c r="D41" s="217">
        <f t="shared" si="9"/>
        <v>0</v>
      </c>
      <c r="E41" s="217">
        <f t="shared" si="9"/>
        <v>0</v>
      </c>
      <c r="F41" s="217">
        <f t="shared" si="9"/>
        <v>1</v>
      </c>
      <c r="G41" s="217">
        <f t="shared" si="9"/>
        <v>0</v>
      </c>
      <c r="H41" s="217">
        <f t="shared" si="9"/>
        <v>0</v>
      </c>
      <c r="I41" s="217">
        <f t="shared" si="9"/>
        <v>2</v>
      </c>
      <c r="J41" s="217">
        <f t="shared" si="9"/>
        <v>0</v>
      </c>
      <c r="K41" s="217">
        <f t="shared" si="9"/>
        <v>0</v>
      </c>
      <c r="L41" s="217">
        <f t="shared" si="9"/>
        <v>1</v>
      </c>
      <c r="M41" s="217">
        <f t="shared" si="9"/>
        <v>0</v>
      </c>
      <c r="N41" s="217">
        <f t="shared" si="9"/>
        <v>0</v>
      </c>
      <c r="O41" s="217">
        <f t="shared" si="9"/>
        <v>0</v>
      </c>
      <c r="P41" s="217">
        <f t="shared" si="9"/>
        <v>0</v>
      </c>
      <c r="Q41" s="217">
        <f t="shared" si="9"/>
        <v>0</v>
      </c>
      <c r="R41" s="217">
        <f t="shared" si="9"/>
        <v>0</v>
      </c>
      <c r="S41" s="217">
        <f t="shared" si="9"/>
        <v>0</v>
      </c>
      <c r="T41" s="217">
        <f t="shared" si="9"/>
        <v>0</v>
      </c>
      <c r="U41" s="217">
        <f t="shared" si="9"/>
        <v>5</v>
      </c>
      <c r="V41" s="158"/>
      <c r="W41" s="150"/>
      <c r="X41" s="150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6"/>
      <c r="BK41" s="246"/>
      <c r="BL41" s="246"/>
      <c r="BM41" s="246"/>
      <c r="BN41" s="246"/>
    </row>
    <row r="42" spans="1:66" s="250" customFormat="1" ht="12">
      <c r="A42" s="244" t="s">
        <v>109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9"/>
      <c r="S42" s="163"/>
      <c r="T42" s="163"/>
      <c r="U42" s="172"/>
      <c r="V42" s="164"/>
      <c r="W42" s="150"/>
      <c r="X42" s="150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49"/>
      <c r="AT42" s="249"/>
      <c r="AU42" s="249"/>
      <c r="AV42" s="249"/>
      <c r="AW42" s="249"/>
      <c r="AX42" s="249"/>
      <c r="AY42" s="249"/>
      <c r="AZ42" s="249"/>
      <c r="BA42" s="249"/>
      <c r="BB42" s="249"/>
      <c r="BC42" s="249"/>
      <c r="BD42" s="249"/>
      <c r="BE42" s="249"/>
      <c r="BF42" s="249"/>
      <c r="BG42" s="249"/>
      <c r="BH42" s="249"/>
      <c r="BI42" s="249"/>
      <c r="BJ42" s="249"/>
      <c r="BK42" s="249"/>
      <c r="BL42" s="249"/>
      <c r="BM42" s="249"/>
      <c r="BN42" s="249"/>
    </row>
    <row r="43" spans="1:66" ht="13.5" customHeight="1">
      <c r="A43" s="245" t="s">
        <v>105</v>
      </c>
      <c r="B43" s="215">
        <v>592</v>
      </c>
      <c r="C43" s="219">
        <v>66</v>
      </c>
      <c r="D43" s="219">
        <v>250</v>
      </c>
      <c r="E43" s="219">
        <v>126</v>
      </c>
      <c r="F43" s="169">
        <v>2169</v>
      </c>
      <c r="G43" s="253">
        <v>125</v>
      </c>
      <c r="H43" s="253">
        <v>271</v>
      </c>
      <c r="I43" s="169">
        <v>3603</v>
      </c>
      <c r="J43" s="253">
        <v>2159</v>
      </c>
      <c r="K43" s="253">
        <v>466</v>
      </c>
      <c r="L43" s="253">
        <v>807</v>
      </c>
      <c r="M43" s="253">
        <v>40</v>
      </c>
      <c r="N43" s="169">
        <v>194</v>
      </c>
      <c r="O43" s="169">
        <v>232</v>
      </c>
      <c r="P43" s="254">
        <v>1594</v>
      </c>
      <c r="Q43" s="253">
        <v>764</v>
      </c>
      <c r="R43" s="215">
        <v>1427</v>
      </c>
      <c r="S43" s="215">
        <v>207</v>
      </c>
      <c r="T43" s="253">
        <v>80</v>
      </c>
      <c r="U43" s="172">
        <f>SUM(B43:T43)</f>
        <v>15172</v>
      </c>
      <c r="V43" s="167"/>
      <c r="W43" s="167"/>
      <c r="X43" s="167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246"/>
      <c r="BG43" s="246"/>
      <c r="BH43" s="246"/>
      <c r="BI43" s="246"/>
      <c r="BJ43" s="246"/>
      <c r="BK43" s="246"/>
      <c r="BL43" s="246"/>
      <c r="BM43" s="246"/>
      <c r="BN43" s="246"/>
    </row>
    <row r="44" spans="1:38" ht="12">
      <c r="A44" s="245" t="s">
        <v>115</v>
      </c>
      <c r="B44" s="215">
        <v>252</v>
      </c>
      <c r="C44" s="219">
        <v>13</v>
      </c>
      <c r="D44" s="219">
        <v>48</v>
      </c>
      <c r="E44" s="219">
        <v>59</v>
      </c>
      <c r="F44" s="169">
        <v>1249</v>
      </c>
      <c r="G44" s="253">
        <v>26</v>
      </c>
      <c r="H44" s="169">
        <v>226</v>
      </c>
      <c r="I44" s="169">
        <v>1872</v>
      </c>
      <c r="J44" s="169">
        <v>1038</v>
      </c>
      <c r="K44" s="253">
        <v>144</v>
      </c>
      <c r="L44" s="253">
        <v>225</v>
      </c>
      <c r="M44" s="253">
        <v>33</v>
      </c>
      <c r="N44" s="169">
        <v>52</v>
      </c>
      <c r="O44" s="253">
        <v>144</v>
      </c>
      <c r="P44" s="169">
        <v>758</v>
      </c>
      <c r="Q44" s="253">
        <v>49</v>
      </c>
      <c r="R44" s="215">
        <v>585</v>
      </c>
      <c r="S44" s="215">
        <v>69</v>
      </c>
      <c r="T44" s="253">
        <v>10</v>
      </c>
      <c r="U44" s="172">
        <f>SUM(B44:T44)</f>
        <v>6852</v>
      </c>
      <c r="V44" s="167"/>
      <c r="W44" s="167"/>
      <c r="X44" s="167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</row>
    <row r="45" spans="1:66" ht="12">
      <c r="A45" s="245" t="s">
        <v>107</v>
      </c>
      <c r="B45" s="217">
        <f aca="true" t="shared" si="10" ref="B45:U45">+B43+B44</f>
        <v>844</v>
      </c>
      <c r="C45" s="217">
        <f t="shared" si="10"/>
        <v>79</v>
      </c>
      <c r="D45" s="217">
        <f t="shared" si="10"/>
        <v>298</v>
      </c>
      <c r="E45" s="217">
        <f t="shared" si="10"/>
        <v>185</v>
      </c>
      <c r="F45" s="217">
        <f t="shared" si="10"/>
        <v>3418</v>
      </c>
      <c r="G45" s="217">
        <f t="shared" si="10"/>
        <v>151</v>
      </c>
      <c r="H45" s="217">
        <f t="shared" si="10"/>
        <v>497</v>
      </c>
      <c r="I45" s="217">
        <f t="shared" si="10"/>
        <v>5475</v>
      </c>
      <c r="J45" s="217">
        <f t="shared" si="10"/>
        <v>3197</v>
      </c>
      <c r="K45" s="217">
        <f t="shared" si="10"/>
        <v>610</v>
      </c>
      <c r="L45" s="217">
        <f t="shared" si="10"/>
        <v>1032</v>
      </c>
      <c r="M45" s="217">
        <f t="shared" si="10"/>
        <v>73</v>
      </c>
      <c r="N45" s="217">
        <f t="shared" si="10"/>
        <v>246</v>
      </c>
      <c r="O45" s="217">
        <f t="shared" si="10"/>
        <v>376</v>
      </c>
      <c r="P45" s="217">
        <f t="shared" si="10"/>
        <v>2352</v>
      </c>
      <c r="Q45" s="217">
        <f t="shared" si="10"/>
        <v>813</v>
      </c>
      <c r="R45" s="217">
        <f t="shared" si="10"/>
        <v>2012</v>
      </c>
      <c r="S45" s="217">
        <f t="shared" si="10"/>
        <v>276</v>
      </c>
      <c r="T45" s="217">
        <f t="shared" si="10"/>
        <v>90</v>
      </c>
      <c r="U45" s="217">
        <f t="shared" si="10"/>
        <v>22024</v>
      </c>
      <c r="V45" s="158"/>
      <c r="W45" s="150"/>
      <c r="X45" s="150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</row>
    <row r="46" spans="1:38" ht="24">
      <c r="A46" s="244" t="s">
        <v>117</v>
      </c>
      <c r="B46" s="169"/>
      <c r="C46" s="170"/>
      <c r="D46" s="170"/>
      <c r="E46" s="170"/>
      <c r="F46" s="169"/>
      <c r="G46" s="169"/>
      <c r="H46" s="171"/>
      <c r="I46" s="169"/>
      <c r="J46" s="172"/>
      <c r="K46" s="170"/>
      <c r="L46" s="172"/>
      <c r="M46" s="172"/>
      <c r="N46" s="170"/>
      <c r="O46" s="169"/>
      <c r="P46" s="172"/>
      <c r="Q46" s="170"/>
      <c r="R46" s="169"/>
      <c r="S46" s="169"/>
      <c r="T46" s="169"/>
      <c r="U46" s="172"/>
      <c r="V46" s="171"/>
      <c r="W46" s="171"/>
      <c r="X46" s="171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</row>
    <row r="47" spans="1:38" ht="12">
      <c r="A47" s="245" t="s">
        <v>105</v>
      </c>
      <c r="B47" s="215">
        <v>118</v>
      </c>
      <c r="C47" s="219"/>
      <c r="D47" s="219">
        <v>96</v>
      </c>
      <c r="E47" s="219">
        <v>44</v>
      </c>
      <c r="F47" s="169">
        <v>616</v>
      </c>
      <c r="G47" s="253">
        <v>19</v>
      </c>
      <c r="H47" s="169">
        <v>0</v>
      </c>
      <c r="I47" s="169">
        <v>1503</v>
      </c>
      <c r="J47" s="253">
        <v>789</v>
      </c>
      <c r="K47" s="253">
        <v>56</v>
      </c>
      <c r="L47" s="253">
        <v>21</v>
      </c>
      <c r="M47" s="253">
        <v>36</v>
      </c>
      <c r="N47" s="169">
        <v>106</v>
      </c>
      <c r="O47" s="169">
        <v>71</v>
      </c>
      <c r="P47" s="253">
        <v>552</v>
      </c>
      <c r="Q47" s="253">
        <v>127</v>
      </c>
      <c r="R47" s="215">
        <v>405</v>
      </c>
      <c r="S47" s="215">
        <v>119</v>
      </c>
      <c r="T47" s="253">
        <v>28</v>
      </c>
      <c r="U47" s="172">
        <f>SUM(B47:T47)</f>
        <v>4706</v>
      </c>
      <c r="V47" s="150"/>
      <c r="W47" s="150"/>
      <c r="X47" s="150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</row>
    <row r="48" spans="1:38" ht="12">
      <c r="A48" s="245" t="s">
        <v>115</v>
      </c>
      <c r="B48" s="215">
        <v>31</v>
      </c>
      <c r="C48" s="219"/>
      <c r="D48" s="219">
        <v>4</v>
      </c>
      <c r="E48" s="219">
        <v>21</v>
      </c>
      <c r="F48" s="169">
        <v>163</v>
      </c>
      <c r="G48" s="253">
        <v>1</v>
      </c>
      <c r="H48" s="169">
        <v>76</v>
      </c>
      <c r="I48" s="169">
        <v>632</v>
      </c>
      <c r="J48" s="169">
        <v>348</v>
      </c>
      <c r="K48" s="253">
        <v>14</v>
      </c>
      <c r="L48" s="253">
        <v>3</v>
      </c>
      <c r="M48" s="253">
        <v>15</v>
      </c>
      <c r="N48" s="169">
        <v>30</v>
      </c>
      <c r="O48" s="253">
        <v>20</v>
      </c>
      <c r="P48" s="169">
        <v>204</v>
      </c>
      <c r="Q48" s="253">
        <v>5</v>
      </c>
      <c r="R48" s="215">
        <v>131</v>
      </c>
      <c r="S48" s="215">
        <v>43</v>
      </c>
      <c r="T48" s="253">
        <v>4</v>
      </c>
      <c r="U48" s="172">
        <f>SUM(B48:T48)</f>
        <v>1745</v>
      </c>
      <c r="V48" s="164"/>
      <c r="W48" s="164"/>
      <c r="X48" s="164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</row>
    <row r="49" spans="1:66" ht="12">
      <c r="A49" s="245" t="s">
        <v>107</v>
      </c>
      <c r="B49" s="217">
        <f aca="true" t="shared" si="11" ref="B49:U49">+B47+B48</f>
        <v>149</v>
      </c>
      <c r="C49" s="217">
        <f t="shared" si="11"/>
        <v>0</v>
      </c>
      <c r="D49" s="217">
        <f t="shared" si="11"/>
        <v>100</v>
      </c>
      <c r="E49" s="217">
        <f t="shared" si="11"/>
        <v>65</v>
      </c>
      <c r="F49" s="217">
        <f t="shared" si="11"/>
        <v>779</v>
      </c>
      <c r="G49" s="217">
        <f t="shared" si="11"/>
        <v>20</v>
      </c>
      <c r="H49" s="217">
        <f t="shared" si="11"/>
        <v>76</v>
      </c>
      <c r="I49" s="217">
        <f t="shared" si="11"/>
        <v>2135</v>
      </c>
      <c r="J49" s="217">
        <f t="shared" si="11"/>
        <v>1137</v>
      </c>
      <c r="K49" s="217">
        <f t="shared" si="11"/>
        <v>70</v>
      </c>
      <c r="L49" s="217">
        <f t="shared" si="11"/>
        <v>24</v>
      </c>
      <c r="M49" s="217">
        <f t="shared" si="11"/>
        <v>51</v>
      </c>
      <c r="N49" s="217">
        <f t="shared" si="11"/>
        <v>136</v>
      </c>
      <c r="O49" s="217">
        <f t="shared" si="11"/>
        <v>91</v>
      </c>
      <c r="P49" s="217">
        <f t="shared" si="11"/>
        <v>756</v>
      </c>
      <c r="Q49" s="217">
        <f t="shared" si="11"/>
        <v>132</v>
      </c>
      <c r="R49" s="217">
        <f t="shared" si="11"/>
        <v>536</v>
      </c>
      <c r="S49" s="217">
        <f t="shared" si="11"/>
        <v>162</v>
      </c>
      <c r="T49" s="217">
        <f t="shared" si="11"/>
        <v>32</v>
      </c>
      <c r="U49" s="217">
        <f t="shared" si="11"/>
        <v>6451</v>
      </c>
      <c r="V49" s="158"/>
      <c r="W49" s="150"/>
      <c r="X49" s="150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6"/>
      <c r="AU49" s="246"/>
      <c r="AV49" s="246"/>
      <c r="AW49" s="246"/>
      <c r="AX49" s="246"/>
      <c r="AY49" s="246"/>
      <c r="AZ49" s="246"/>
      <c r="BA49" s="246"/>
      <c r="BB49" s="246"/>
      <c r="BC49" s="246"/>
      <c r="BD49" s="246"/>
      <c r="BE49" s="246"/>
      <c r="BF49" s="246"/>
      <c r="BG49" s="246"/>
      <c r="BH49" s="246"/>
      <c r="BI49" s="246"/>
      <c r="BJ49" s="246"/>
      <c r="BK49" s="246"/>
      <c r="BL49" s="246"/>
      <c r="BM49" s="246"/>
      <c r="BN49" s="246"/>
    </row>
    <row r="50" spans="1:66" ht="12">
      <c r="A50" s="244" t="s">
        <v>111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72"/>
      <c r="V50" s="158"/>
      <c r="W50" s="150"/>
      <c r="X50" s="150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  <c r="AZ50" s="246"/>
      <c r="BA50" s="246"/>
      <c r="BB50" s="246"/>
      <c r="BC50" s="246"/>
      <c r="BD50" s="246"/>
      <c r="BE50" s="246"/>
      <c r="BF50" s="246"/>
      <c r="BG50" s="246"/>
      <c r="BH50" s="246"/>
      <c r="BI50" s="246"/>
      <c r="BJ50" s="246"/>
      <c r="BK50" s="246"/>
      <c r="BL50" s="246"/>
      <c r="BM50" s="246"/>
      <c r="BN50" s="246"/>
    </row>
    <row r="51" spans="1:66" ht="12">
      <c r="A51" s="245" t="s">
        <v>105</v>
      </c>
      <c r="B51" s="215"/>
      <c r="C51" s="219">
        <v>273</v>
      </c>
      <c r="D51" s="219"/>
      <c r="E51" s="219"/>
      <c r="F51" s="169"/>
      <c r="G51" s="253">
        <v>646</v>
      </c>
      <c r="H51" s="254">
        <v>1836</v>
      </c>
      <c r="I51" s="169">
        <v>354</v>
      </c>
      <c r="J51" s="253"/>
      <c r="K51" s="253"/>
      <c r="L51" s="254">
        <v>1046</v>
      </c>
      <c r="M51" s="253">
        <v>255</v>
      </c>
      <c r="N51" s="169"/>
      <c r="O51" s="169"/>
      <c r="P51" s="253"/>
      <c r="Q51" s="253"/>
      <c r="R51" s="215"/>
      <c r="S51" s="215"/>
      <c r="T51" s="253"/>
      <c r="U51" s="172">
        <f>SUM(B51:T51)</f>
        <v>4410</v>
      </c>
      <c r="V51" s="158"/>
      <c r="W51" s="150"/>
      <c r="X51" s="150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  <c r="BA51" s="246"/>
      <c r="BB51" s="246"/>
      <c r="BC51" s="246"/>
      <c r="BD51" s="246"/>
      <c r="BE51" s="246"/>
      <c r="BF51" s="246"/>
      <c r="BG51" s="246"/>
      <c r="BH51" s="246"/>
      <c r="BI51" s="246"/>
      <c r="BJ51" s="246"/>
      <c r="BK51" s="246"/>
      <c r="BL51" s="246"/>
      <c r="BM51" s="246"/>
      <c r="BN51" s="246"/>
    </row>
    <row r="52" spans="1:66" ht="12">
      <c r="A52" s="245" t="s">
        <v>115</v>
      </c>
      <c r="B52" s="215"/>
      <c r="C52" s="219">
        <v>19</v>
      </c>
      <c r="D52" s="219"/>
      <c r="E52" s="219"/>
      <c r="F52" s="169"/>
      <c r="G52" s="253">
        <v>123</v>
      </c>
      <c r="H52" s="169">
        <v>493</v>
      </c>
      <c r="I52" s="169">
        <v>261</v>
      </c>
      <c r="J52" s="169"/>
      <c r="K52" s="253"/>
      <c r="L52" s="253">
        <v>285</v>
      </c>
      <c r="M52" s="253">
        <v>81</v>
      </c>
      <c r="N52" s="169"/>
      <c r="O52" s="253"/>
      <c r="P52" s="169"/>
      <c r="Q52" s="253"/>
      <c r="R52" s="215"/>
      <c r="S52" s="215"/>
      <c r="T52" s="253"/>
      <c r="U52" s="172">
        <f>SUM(B52:T52)</f>
        <v>1262</v>
      </c>
      <c r="V52" s="158"/>
      <c r="W52" s="150"/>
      <c r="X52" s="150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246"/>
      <c r="BC52" s="246"/>
      <c r="BD52" s="246"/>
      <c r="BE52" s="246"/>
      <c r="BF52" s="246"/>
      <c r="BG52" s="246"/>
      <c r="BH52" s="246"/>
      <c r="BI52" s="246"/>
      <c r="BJ52" s="246"/>
      <c r="BK52" s="246"/>
      <c r="BL52" s="246"/>
      <c r="BM52" s="246"/>
      <c r="BN52" s="246"/>
    </row>
    <row r="53" spans="1:66" ht="12">
      <c r="A53" s="245" t="s">
        <v>107</v>
      </c>
      <c r="B53" s="217">
        <f aca="true" t="shared" si="12" ref="B53:U53">+B51+B52</f>
        <v>0</v>
      </c>
      <c r="C53" s="217">
        <f t="shared" si="12"/>
        <v>292</v>
      </c>
      <c r="D53" s="217">
        <f t="shared" si="12"/>
        <v>0</v>
      </c>
      <c r="E53" s="217">
        <f t="shared" si="12"/>
        <v>0</v>
      </c>
      <c r="F53" s="217">
        <f t="shared" si="12"/>
        <v>0</v>
      </c>
      <c r="G53" s="217">
        <f t="shared" si="12"/>
        <v>769</v>
      </c>
      <c r="H53" s="217">
        <f t="shared" si="12"/>
        <v>2329</v>
      </c>
      <c r="I53" s="217">
        <f t="shared" si="12"/>
        <v>615</v>
      </c>
      <c r="J53" s="217">
        <f t="shared" si="12"/>
        <v>0</v>
      </c>
      <c r="K53" s="217">
        <f t="shared" si="12"/>
        <v>0</v>
      </c>
      <c r="L53" s="217">
        <f t="shared" si="12"/>
        <v>1331</v>
      </c>
      <c r="M53" s="217">
        <f t="shared" si="12"/>
        <v>336</v>
      </c>
      <c r="N53" s="217">
        <f t="shared" si="12"/>
        <v>0</v>
      </c>
      <c r="O53" s="217">
        <f t="shared" si="12"/>
        <v>0</v>
      </c>
      <c r="P53" s="217">
        <f t="shared" si="12"/>
        <v>0</v>
      </c>
      <c r="Q53" s="217">
        <f t="shared" si="12"/>
        <v>0</v>
      </c>
      <c r="R53" s="217">
        <f t="shared" si="12"/>
        <v>0</v>
      </c>
      <c r="S53" s="217">
        <f t="shared" si="12"/>
        <v>0</v>
      </c>
      <c r="T53" s="217">
        <f t="shared" si="12"/>
        <v>0</v>
      </c>
      <c r="U53" s="217">
        <f t="shared" si="12"/>
        <v>5672</v>
      </c>
      <c r="V53" s="158"/>
      <c r="W53" s="150"/>
      <c r="X53" s="150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  <c r="BB53" s="246"/>
      <c r="BC53" s="246"/>
      <c r="BD53" s="246"/>
      <c r="BE53" s="246"/>
      <c r="BF53" s="246"/>
      <c r="BG53" s="246"/>
      <c r="BH53" s="246"/>
      <c r="BI53" s="246"/>
      <c r="BJ53" s="246"/>
      <c r="BK53" s="246"/>
      <c r="BL53" s="246"/>
      <c r="BM53" s="246"/>
      <c r="BN53" s="246"/>
    </row>
    <row r="54" spans="1:38" ht="12">
      <c r="A54" s="244" t="s">
        <v>112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51"/>
      <c r="V54" s="150"/>
      <c r="W54" s="150"/>
      <c r="X54" s="150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</row>
    <row r="55" spans="1:24" ht="12">
      <c r="A55" s="245" t="s">
        <v>105</v>
      </c>
      <c r="B55" s="223">
        <f>+B51+B47+B43+B39+B35</f>
        <v>710</v>
      </c>
      <c r="C55" s="223">
        <f aca="true" t="shared" si="13" ref="C55:U56">+C51+C47+C43+C39+C35</f>
        <v>339</v>
      </c>
      <c r="D55" s="223">
        <f t="shared" si="13"/>
        <v>346</v>
      </c>
      <c r="E55" s="223">
        <f t="shared" si="13"/>
        <v>170</v>
      </c>
      <c r="F55" s="223">
        <f t="shared" si="13"/>
        <v>2785</v>
      </c>
      <c r="G55" s="223">
        <f t="shared" si="13"/>
        <v>793</v>
      </c>
      <c r="H55" s="223">
        <f t="shared" si="13"/>
        <v>2107</v>
      </c>
      <c r="I55" s="223">
        <f t="shared" si="13"/>
        <v>5460</v>
      </c>
      <c r="J55" s="223">
        <f t="shared" si="13"/>
        <v>2948</v>
      </c>
      <c r="K55" s="223">
        <f t="shared" si="13"/>
        <v>522</v>
      </c>
      <c r="L55" s="223">
        <f t="shared" si="13"/>
        <v>1874</v>
      </c>
      <c r="M55" s="223">
        <f t="shared" si="13"/>
        <v>331</v>
      </c>
      <c r="N55" s="223">
        <f t="shared" si="13"/>
        <v>300</v>
      </c>
      <c r="O55" s="223">
        <f t="shared" si="13"/>
        <v>358</v>
      </c>
      <c r="P55" s="223">
        <f t="shared" si="13"/>
        <v>2146</v>
      </c>
      <c r="Q55" s="223">
        <f t="shared" si="13"/>
        <v>891</v>
      </c>
      <c r="R55" s="223">
        <f t="shared" si="13"/>
        <v>1832</v>
      </c>
      <c r="S55" s="223">
        <f t="shared" si="13"/>
        <v>326</v>
      </c>
      <c r="T55" s="223">
        <f t="shared" si="13"/>
        <v>108</v>
      </c>
      <c r="U55" s="223">
        <f t="shared" si="13"/>
        <v>24346</v>
      </c>
      <c r="V55" s="181"/>
      <c r="W55" s="181"/>
      <c r="X55" s="181"/>
    </row>
    <row r="56" spans="1:24" ht="12">
      <c r="A56" s="245" t="s">
        <v>115</v>
      </c>
      <c r="B56" s="223">
        <f>+B52+B48+B44+B40+B36</f>
        <v>325</v>
      </c>
      <c r="C56" s="223">
        <f t="shared" si="13"/>
        <v>32</v>
      </c>
      <c r="D56" s="223">
        <f t="shared" si="13"/>
        <v>58</v>
      </c>
      <c r="E56" s="223">
        <f t="shared" si="13"/>
        <v>105</v>
      </c>
      <c r="F56" s="223">
        <f t="shared" si="13"/>
        <v>1543</v>
      </c>
      <c r="G56" s="223">
        <f t="shared" si="13"/>
        <v>177</v>
      </c>
      <c r="H56" s="223">
        <f t="shared" si="13"/>
        <v>1164</v>
      </c>
      <c r="I56" s="223">
        <f t="shared" si="13"/>
        <v>3196</v>
      </c>
      <c r="J56" s="223">
        <f t="shared" si="13"/>
        <v>1738</v>
      </c>
      <c r="K56" s="223">
        <f t="shared" si="13"/>
        <v>169</v>
      </c>
      <c r="L56" s="223">
        <f t="shared" si="13"/>
        <v>585</v>
      </c>
      <c r="M56" s="223">
        <f t="shared" si="13"/>
        <v>139</v>
      </c>
      <c r="N56" s="223">
        <f t="shared" si="13"/>
        <v>102</v>
      </c>
      <c r="O56" s="223">
        <f t="shared" si="13"/>
        <v>222</v>
      </c>
      <c r="P56" s="223">
        <f t="shared" si="13"/>
        <v>1071</v>
      </c>
      <c r="Q56" s="223">
        <f t="shared" si="13"/>
        <v>87</v>
      </c>
      <c r="R56" s="223">
        <f t="shared" si="13"/>
        <v>890</v>
      </c>
      <c r="S56" s="223">
        <f t="shared" si="13"/>
        <v>123</v>
      </c>
      <c r="T56" s="223">
        <f t="shared" si="13"/>
        <v>15</v>
      </c>
      <c r="U56" s="223">
        <f t="shared" si="13"/>
        <v>11741</v>
      </c>
      <c r="V56" s="181"/>
      <c r="W56" s="181"/>
      <c r="X56" s="181"/>
    </row>
    <row r="57" spans="1:80" ht="12">
      <c r="A57" s="245" t="s">
        <v>107</v>
      </c>
      <c r="B57" s="217">
        <f aca="true" t="shared" si="14" ref="B57:U57">+B55+B56</f>
        <v>1035</v>
      </c>
      <c r="C57" s="217">
        <f>+C55+C56</f>
        <v>371</v>
      </c>
      <c r="D57" s="217">
        <f t="shared" si="14"/>
        <v>404</v>
      </c>
      <c r="E57" s="217">
        <f t="shared" si="14"/>
        <v>275</v>
      </c>
      <c r="F57" s="217">
        <f t="shared" si="14"/>
        <v>4328</v>
      </c>
      <c r="G57" s="217">
        <f t="shared" si="14"/>
        <v>970</v>
      </c>
      <c r="H57" s="217">
        <f t="shared" si="14"/>
        <v>3271</v>
      </c>
      <c r="I57" s="217">
        <f t="shared" si="14"/>
        <v>8656</v>
      </c>
      <c r="J57" s="217">
        <f t="shared" si="14"/>
        <v>4686</v>
      </c>
      <c r="K57" s="217">
        <f t="shared" si="14"/>
        <v>691</v>
      </c>
      <c r="L57" s="217">
        <f t="shared" si="14"/>
        <v>2459</v>
      </c>
      <c r="M57" s="217">
        <f t="shared" si="14"/>
        <v>470</v>
      </c>
      <c r="N57" s="217">
        <f t="shared" si="14"/>
        <v>402</v>
      </c>
      <c r="O57" s="217">
        <f t="shared" si="14"/>
        <v>580</v>
      </c>
      <c r="P57" s="217">
        <f t="shared" si="14"/>
        <v>3217</v>
      </c>
      <c r="Q57" s="217">
        <f t="shared" si="14"/>
        <v>978</v>
      </c>
      <c r="R57" s="217">
        <f t="shared" si="14"/>
        <v>2722</v>
      </c>
      <c r="S57" s="217">
        <f t="shared" si="14"/>
        <v>449</v>
      </c>
      <c r="T57" s="217">
        <f t="shared" si="14"/>
        <v>123</v>
      </c>
      <c r="U57" s="217">
        <f t="shared" si="14"/>
        <v>36087</v>
      </c>
      <c r="V57" s="158"/>
      <c r="W57" s="150"/>
      <c r="X57" s="150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O57" s="246"/>
      <c r="AP57" s="246"/>
      <c r="AQ57" s="246"/>
      <c r="AR57" s="246"/>
      <c r="AS57" s="246"/>
      <c r="AT57" s="246"/>
      <c r="AU57" s="246"/>
      <c r="AV57" s="246"/>
      <c r="AW57" s="246"/>
      <c r="AX57" s="246"/>
      <c r="AY57" s="246"/>
      <c r="AZ57" s="246"/>
      <c r="BA57" s="246"/>
      <c r="BB57" s="246"/>
      <c r="BC57" s="246"/>
      <c r="BD57" s="246"/>
      <c r="BE57" s="246"/>
      <c r="BF57" s="246"/>
      <c r="BG57" s="246"/>
      <c r="BH57" s="246"/>
      <c r="BI57" s="246"/>
      <c r="BJ57" s="246"/>
      <c r="BK57" s="246"/>
      <c r="BL57" s="246"/>
      <c r="BM57" s="246"/>
      <c r="BN57" s="246"/>
      <c r="BO57" s="246"/>
      <c r="BP57" s="246"/>
      <c r="BQ57" s="246"/>
      <c r="BR57" s="246"/>
      <c r="BS57" s="246"/>
      <c r="BT57" s="246"/>
      <c r="BU57" s="246"/>
      <c r="BV57" s="246"/>
      <c r="BW57" s="246"/>
      <c r="BX57" s="246"/>
      <c r="BY57" s="246"/>
      <c r="BZ57" s="246"/>
      <c r="CA57" s="246"/>
      <c r="CB57" s="246"/>
    </row>
    <row r="58" spans="2:21" s="135" customFormat="1" ht="12">
      <c r="B58" s="215"/>
      <c r="C58" s="215"/>
      <c r="D58" s="169"/>
      <c r="E58" s="169"/>
      <c r="F58" s="169"/>
      <c r="G58" s="169"/>
      <c r="H58" s="215"/>
      <c r="I58" s="169"/>
      <c r="J58" s="169"/>
      <c r="K58" s="215"/>
      <c r="L58" s="169"/>
      <c r="M58" s="169"/>
      <c r="N58" s="169"/>
      <c r="O58" s="169"/>
      <c r="P58" s="169"/>
      <c r="Q58" s="169"/>
      <c r="R58" s="215"/>
      <c r="S58" s="215"/>
      <c r="T58" s="215"/>
      <c r="U58" s="172"/>
    </row>
    <row r="59" spans="1:66" s="120" customFormat="1" ht="12">
      <c r="A59" s="244" t="s">
        <v>104</v>
      </c>
      <c r="B59" s="215"/>
      <c r="C59" s="215"/>
      <c r="D59" s="169"/>
      <c r="E59" s="169"/>
      <c r="F59" s="169"/>
      <c r="G59" s="169"/>
      <c r="H59" s="215"/>
      <c r="I59" s="169"/>
      <c r="J59" s="169"/>
      <c r="K59" s="215"/>
      <c r="L59" s="169"/>
      <c r="M59" s="169"/>
      <c r="N59" s="169"/>
      <c r="O59" s="169"/>
      <c r="P59" s="169"/>
      <c r="Q59" s="169"/>
      <c r="R59" s="215"/>
      <c r="S59" s="215"/>
      <c r="T59" s="215"/>
      <c r="U59" s="172"/>
      <c r="V59" s="150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  <c r="BL59" s="171"/>
      <c r="BM59" s="171"/>
      <c r="BN59" s="171"/>
    </row>
    <row r="60" spans="1:66" ht="12">
      <c r="A60" s="245" t="s">
        <v>105</v>
      </c>
      <c r="B60" s="215"/>
      <c r="C60" s="219"/>
      <c r="D60" s="219"/>
      <c r="E60" s="219">
        <v>0</v>
      </c>
      <c r="F60" s="169"/>
      <c r="G60" s="253">
        <v>6</v>
      </c>
      <c r="H60" s="253"/>
      <c r="I60" s="169"/>
      <c r="J60" s="253">
        <v>0</v>
      </c>
      <c r="K60" s="253"/>
      <c r="L60" s="253"/>
      <c r="M60" s="253"/>
      <c r="N60" s="169"/>
      <c r="O60" s="169">
        <v>829</v>
      </c>
      <c r="P60" s="253">
        <v>1</v>
      </c>
      <c r="Q60" s="253">
        <v>1</v>
      </c>
      <c r="R60" s="215"/>
      <c r="S60" s="215"/>
      <c r="T60" s="253"/>
      <c r="U60" s="172">
        <f>SUM(B60:T60)</f>
        <v>837</v>
      </c>
      <c r="V60" s="150"/>
      <c r="W60" s="150"/>
      <c r="X60" s="150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6"/>
      <c r="AQ60" s="246"/>
      <c r="AR60" s="246"/>
      <c r="AS60" s="246"/>
      <c r="AT60" s="246"/>
      <c r="AU60" s="246"/>
      <c r="AV60" s="246"/>
      <c r="AW60" s="246"/>
      <c r="AX60" s="246"/>
      <c r="AY60" s="246"/>
      <c r="AZ60" s="246"/>
      <c r="BA60" s="246"/>
      <c r="BB60" s="246"/>
      <c r="BC60" s="246"/>
      <c r="BD60" s="246"/>
      <c r="BE60" s="246"/>
      <c r="BF60" s="246"/>
      <c r="BG60" s="246"/>
      <c r="BH60" s="246"/>
      <c r="BI60" s="246"/>
      <c r="BJ60" s="246"/>
      <c r="BK60" s="246"/>
      <c r="BL60" s="246"/>
      <c r="BM60" s="246"/>
      <c r="BN60" s="246"/>
    </row>
    <row r="61" spans="1:66" ht="12">
      <c r="A61" s="245" t="s">
        <v>115</v>
      </c>
      <c r="B61" s="215">
        <v>17</v>
      </c>
      <c r="C61" s="219"/>
      <c r="D61" s="219">
        <v>2</v>
      </c>
      <c r="E61" s="219">
        <v>80</v>
      </c>
      <c r="F61" s="169">
        <v>112</v>
      </c>
      <c r="G61" s="253">
        <v>79</v>
      </c>
      <c r="H61" s="169">
        <v>511</v>
      </c>
      <c r="I61" s="169">
        <v>87</v>
      </c>
      <c r="J61" s="169">
        <v>537</v>
      </c>
      <c r="K61" s="253">
        <v>110</v>
      </c>
      <c r="L61" s="253">
        <v>53</v>
      </c>
      <c r="M61" s="253">
        <v>30</v>
      </c>
      <c r="N61" s="169">
        <v>60</v>
      </c>
      <c r="O61" s="253">
        <v>603</v>
      </c>
      <c r="P61" s="169">
        <v>98</v>
      </c>
      <c r="Q61" s="253">
        <v>34</v>
      </c>
      <c r="R61" s="215">
        <v>201</v>
      </c>
      <c r="S61" s="215">
        <v>9</v>
      </c>
      <c r="T61" s="253">
        <v>5</v>
      </c>
      <c r="U61" s="172">
        <f>SUM(B61:T61)</f>
        <v>2628</v>
      </c>
      <c r="V61" s="150"/>
      <c r="W61" s="150"/>
      <c r="X61" s="150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  <c r="AO61" s="246"/>
      <c r="AP61" s="246"/>
      <c r="AQ61" s="246"/>
      <c r="AR61" s="246"/>
      <c r="AS61" s="246"/>
      <c r="AT61" s="246"/>
      <c r="AU61" s="246"/>
      <c r="AV61" s="246"/>
      <c r="AW61" s="246"/>
      <c r="AX61" s="246"/>
      <c r="AY61" s="246"/>
      <c r="AZ61" s="246"/>
      <c r="BA61" s="246"/>
      <c r="BB61" s="246"/>
      <c r="BC61" s="246"/>
      <c r="BD61" s="246"/>
      <c r="BE61" s="246"/>
      <c r="BF61" s="246"/>
      <c r="BG61" s="246"/>
      <c r="BH61" s="246"/>
      <c r="BI61" s="246"/>
      <c r="BJ61" s="246"/>
      <c r="BK61" s="246"/>
      <c r="BL61" s="246"/>
      <c r="BM61" s="246"/>
      <c r="BN61" s="246"/>
    </row>
    <row r="62" spans="1:66" ht="12">
      <c r="A62" s="245" t="s">
        <v>107</v>
      </c>
      <c r="B62" s="217">
        <f aca="true" t="shared" si="15" ref="B62:U62">+B60+B61</f>
        <v>17</v>
      </c>
      <c r="C62" s="217">
        <f t="shared" si="15"/>
        <v>0</v>
      </c>
      <c r="D62" s="217">
        <f t="shared" si="15"/>
        <v>2</v>
      </c>
      <c r="E62" s="217">
        <f t="shared" si="15"/>
        <v>80</v>
      </c>
      <c r="F62" s="217">
        <f t="shared" si="15"/>
        <v>112</v>
      </c>
      <c r="G62" s="217">
        <f t="shared" si="15"/>
        <v>85</v>
      </c>
      <c r="H62" s="217">
        <f t="shared" si="15"/>
        <v>511</v>
      </c>
      <c r="I62" s="217">
        <f t="shared" si="15"/>
        <v>87</v>
      </c>
      <c r="J62" s="217">
        <f t="shared" si="15"/>
        <v>537</v>
      </c>
      <c r="K62" s="217">
        <f t="shared" si="15"/>
        <v>110</v>
      </c>
      <c r="L62" s="217">
        <f t="shared" si="15"/>
        <v>53</v>
      </c>
      <c r="M62" s="217">
        <f t="shared" si="15"/>
        <v>30</v>
      </c>
      <c r="N62" s="217">
        <f t="shared" si="15"/>
        <v>60</v>
      </c>
      <c r="O62" s="217">
        <f t="shared" si="15"/>
        <v>1432</v>
      </c>
      <c r="P62" s="217">
        <f t="shared" si="15"/>
        <v>99</v>
      </c>
      <c r="Q62" s="217">
        <f t="shared" si="15"/>
        <v>35</v>
      </c>
      <c r="R62" s="217">
        <f t="shared" si="15"/>
        <v>201</v>
      </c>
      <c r="S62" s="217">
        <f t="shared" si="15"/>
        <v>9</v>
      </c>
      <c r="T62" s="217">
        <f t="shared" si="15"/>
        <v>5</v>
      </c>
      <c r="U62" s="217">
        <f t="shared" si="15"/>
        <v>3465</v>
      </c>
      <c r="V62" s="158"/>
      <c r="W62" s="150"/>
      <c r="X62" s="150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  <c r="AM62" s="246"/>
      <c r="AN62" s="246"/>
      <c r="AO62" s="246"/>
      <c r="AP62" s="246"/>
      <c r="AQ62" s="246"/>
      <c r="AR62" s="246"/>
      <c r="AS62" s="246"/>
      <c r="AT62" s="246"/>
      <c r="AU62" s="246"/>
      <c r="AV62" s="246"/>
      <c r="AW62" s="246"/>
      <c r="AX62" s="246"/>
      <c r="AY62" s="246"/>
      <c r="AZ62" s="246"/>
      <c r="BA62" s="246"/>
      <c r="BB62" s="246"/>
      <c r="BC62" s="246"/>
      <c r="BD62" s="246"/>
      <c r="BE62" s="246"/>
      <c r="BF62" s="246"/>
      <c r="BG62" s="246"/>
      <c r="BH62" s="246"/>
      <c r="BI62" s="246"/>
      <c r="BJ62" s="246"/>
      <c r="BK62" s="246"/>
      <c r="BL62" s="246"/>
      <c r="BM62" s="246"/>
      <c r="BN62" s="246"/>
    </row>
    <row r="63" spans="1:66" ht="12">
      <c r="A63" s="244" t="s">
        <v>108</v>
      </c>
      <c r="B63" s="215"/>
      <c r="C63" s="169"/>
      <c r="D63" s="169"/>
      <c r="E63" s="169"/>
      <c r="F63" s="169"/>
      <c r="G63" s="169"/>
      <c r="H63" s="215"/>
      <c r="I63" s="169"/>
      <c r="J63" s="169"/>
      <c r="K63" s="215"/>
      <c r="L63" s="169"/>
      <c r="M63" s="169"/>
      <c r="N63" s="169"/>
      <c r="O63" s="169"/>
      <c r="P63" s="169"/>
      <c r="Q63" s="169"/>
      <c r="R63" s="215"/>
      <c r="S63" s="215"/>
      <c r="T63" s="215"/>
      <c r="U63" s="172"/>
      <c r="V63" s="158"/>
      <c r="W63" s="150"/>
      <c r="X63" s="150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  <c r="AM63" s="246"/>
      <c r="AN63" s="246"/>
      <c r="AO63" s="246"/>
      <c r="AP63" s="246"/>
      <c r="AQ63" s="246"/>
      <c r="AR63" s="246"/>
      <c r="AS63" s="246"/>
      <c r="AT63" s="246"/>
      <c r="AU63" s="246"/>
      <c r="AV63" s="246"/>
      <c r="AW63" s="246"/>
      <c r="AX63" s="246"/>
      <c r="AY63" s="246"/>
      <c r="AZ63" s="246"/>
      <c r="BA63" s="246"/>
      <c r="BB63" s="246"/>
      <c r="BC63" s="246"/>
      <c r="BD63" s="246"/>
      <c r="BE63" s="246"/>
      <c r="BF63" s="246"/>
      <c r="BG63" s="246"/>
      <c r="BH63" s="246"/>
      <c r="BI63" s="246"/>
      <c r="BJ63" s="246"/>
      <c r="BK63" s="246"/>
      <c r="BL63" s="246"/>
      <c r="BM63" s="246"/>
      <c r="BN63" s="246"/>
    </row>
    <row r="64" spans="1:66" ht="12">
      <c r="A64" s="245" t="s">
        <v>105</v>
      </c>
      <c r="B64" s="215"/>
      <c r="C64" s="219"/>
      <c r="D64" s="219"/>
      <c r="E64" s="219"/>
      <c r="F64" s="169"/>
      <c r="G64" s="253"/>
      <c r="H64" s="253"/>
      <c r="I64" s="169"/>
      <c r="J64" s="253"/>
      <c r="K64" s="253"/>
      <c r="L64" s="253">
        <v>0</v>
      </c>
      <c r="M64" s="253"/>
      <c r="N64" s="169"/>
      <c r="O64" s="169"/>
      <c r="P64" s="253"/>
      <c r="Q64" s="253"/>
      <c r="R64" s="215"/>
      <c r="S64" s="215"/>
      <c r="T64" s="253"/>
      <c r="U64" s="172">
        <f>SUM(B64:T64)</f>
        <v>0</v>
      </c>
      <c r="V64" s="158"/>
      <c r="W64" s="150"/>
      <c r="X64" s="150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6"/>
      <c r="AS64" s="246"/>
      <c r="AT64" s="246"/>
      <c r="AU64" s="246"/>
      <c r="AV64" s="246"/>
      <c r="AW64" s="246"/>
      <c r="AX64" s="246"/>
      <c r="AY64" s="246"/>
      <c r="AZ64" s="246"/>
      <c r="BA64" s="246"/>
      <c r="BB64" s="246"/>
      <c r="BC64" s="246"/>
      <c r="BD64" s="246"/>
      <c r="BE64" s="246"/>
      <c r="BF64" s="246"/>
      <c r="BG64" s="246"/>
      <c r="BH64" s="246"/>
      <c r="BI64" s="246"/>
      <c r="BJ64" s="246"/>
      <c r="BK64" s="246"/>
      <c r="BL64" s="246"/>
      <c r="BM64" s="246"/>
      <c r="BN64" s="246"/>
    </row>
    <row r="65" spans="1:66" s="248" customFormat="1" ht="12">
      <c r="A65" s="245" t="s">
        <v>115</v>
      </c>
      <c r="B65" s="215"/>
      <c r="C65" s="219"/>
      <c r="D65" s="219"/>
      <c r="E65" s="219">
        <v>2</v>
      </c>
      <c r="F65" s="169">
        <v>1</v>
      </c>
      <c r="G65" s="253"/>
      <c r="H65" s="169">
        <v>1</v>
      </c>
      <c r="I65" s="169"/>
      <c r="J65" s="169"/>
      <c r="K65" s="253"/>
      <c r="L65" s="253"/>
      <c r="M65" s="253">
        <v>0</v>
      </c>
      <c r="N65" s="169"/>
      <c r="O65" s="253">
        <v>0</v>
      </c>
      <c r="P65" s="169"/>
      <c r="Q65" s="253"/>
      <c r="R65" s="215"/>
      <c r="S65" s="215">
        <v>0</v>
      </c>
      <c r="T65" s="253"/>
      <c r="U65" s="172">
        <f>SUM(B65:T65)</f>
        <v>4</v>
      </c>
      <c r="V65" s="164"/>
      <c r="W65" s="150"/>
      <c r="X65" s="150"/>
      <c r="Y65" s="247"/>
      <c r="Z65" s="247"/>
      <c r="AA65" s="247"/>
      <c r="AB65" s="247"/>
      <c r="AC65" s="247"/>
      <c r="AD65" s="247"/>
      <c r="AE65" s="247"/>
      <c r="AF65" s="247"/>
      <c r="AG65" s="247"/>
      <c r="AH65" s="247"/>
      <c r="AI65" s="247"/>
      <c r="AJ65" s="247"/>
      <c r="AK65" s="247"/>
      <c r="AL65" s="247"/>
      <c r="AM65" s="247"/>
      <c r="AN65" s="247"/>
      <c r="AO65" s="247"/>
      <c r="AP65" s="247"/>
      <c r="AQ65" s="247"/>
      <c r="AR65" s="247"/>
      <c r="AS65" s="247"/>
      <c r="AT65" s="247"/>
      <c r="AU65" s="247"/>
      <c r="AV65" s="247"/>
      <c r="AW65" s="247"/>
      <c r="AX65" s="247"/>
      <c r="AY65" s="247"/>
      <c r="AZ65" s="247"/>
      <c r="BA65" s="247"/>
      <c r="BB65" s="247"/>
      <c r="BC65" s="247"/>
      <c r="BD65" s="247"/>
      <c r="BE65" s="247"/>
      <c r="BF65" s="247"/>
      <c r="BG65" s="247"/>
      <c r="BH65" s="247"/>
      <c r="BI65" s="247"/>
      <c r="BJ65" s="247"/>
      <c r="BK65" s="247"/>
      <c r="BL65" s="247"/>
      <c r="BM65" s="247"/>
      <c r="BN65" s="247"/>
    </row>
    <row r="66" spans="1:66" ht="12">
      <c r="A66" s="245" t="s">
        <v>107</v>
      </c>
      <c r="B66" s="217">
        <f aca="true" t="shared" si="16" ref="B66:U66">+B64+B65</f>
        <v>0</v>
      </c>
      <c r="C66" s="217">
        <f t="shared" si="16"/>
        <v>0</v>
      </c>
      <c r="D66" s="217">
        <f t="shared" si="16"/>
        <v>0</v>
      </c>
      <c r="E66" s="217">
        <f t="shared" si="16"/>
        <v>2</v>
      </c>
      <c r="F66" s="217">
        <f t="shared" si="16"/>
        <v>1</v>
      </c>
      <c r="G66" s="217">
        <f t="shared" si="16"/>
        <v>0</v>
      </c>
      <c r="H66" s="217">
        <f t="shared" si="16"/>
        <v>1</v>
      </c>
      <c r="I66" s="217">
        <f t="shared" si="16"/>
        <v>0</v>
      </c>
      <c r="J66" s="217">
        <f t="shared" si="16"/>
        <v>0</v>
      </c>
      <c r="K66" s="217">
        <f t="shared" si="16"/>
        <v>0</v>
      </c>
      <c r="L66" s="217">
        <f t="shared" si="16"/>
        <v>0</v>
      </c>
      <c r="M66" s="217">
        <f t="shared" si="16"/>
        <v>0</v>
      </c>
      <c r="N66" s="217">
        <f t="shared" si="16"/>
        <v>0</v>
      </c>
      <c r="O66" s="217">
        <f t="shared" si="16"/>
        <v>0</v>
      </c>
      <c r="P66" s="217">
        <f t="shared" si="16"/>
        <v>0</v>
      </c>
      <c r="Q66" s="217">
        <f t="shared" si="16"/>
        <v>0</v>
      </c>
      <c r="R66" s="217">
        <f t="shared" si="16"/>
        <v>0</v>
      </c>
      <c r="S66" s="217">
        <f t="shared" si="16"/>
        <v>0</v>
      </c>
      <c r="T66" s="217">
        <f t="shared" si="16"/>
        <v>0</v>
      </c>
      <c r="U66" s="217">
        <f t="shared" si="16"/>
        <v>4</v>
      </c>
      <c r="V66" s="158"/>
      <c r="W66" s="150"/>
      <c r="X66" s="150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  <c r="AM66" s="246"/>
      <c r="AN66" s="246"/>
      <c r="AO66" s="246"/>
      <c r="AP66" s="246"/>
      <c r="AQ66" s="246"/>
      <c r="AR66" s="246"/>
      <c r="AS66" s="246"/>
      <c r="AT66" s="246"/>
      <c r="AU66" s="246"/>
      <c r="AV66" s="246"/>
      <c r="AW66" s="246"/>
      <c r="AX66" s="246"/>
      <c r="AY66" s="246"/>
      <c r="AZ66" s="246"/>
      <c r="BA66" s="246"/>
      <c r="BB66" s="246"/>
      <c r="BC66" s="246"/>
      <c r="BD66" s="246"/>
      <c r="BE66" s="246"/>
      <c r="BF66" s="246"/>
      <c r="BG66" s="246"/>
      <c r="BH66" s="246"/>
      <c r="BI66" s="246"/>
      <c r="BJ66" s="246"/>
      <c r="BK66" s="246"/>
      <c r="BL66" s="246"/>
      <c r="BM66" s="246"/>
      <c r="BN66" s="246"/>
    </row>
    <row r="67" spans="1:66" s="250" customFormat="1" ht="12">
      <c r="A67" s="244" t="s">
        <v>109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9"/>
      <c r="S67" s="163"/>
      <c r="T67" s="163"/>
      <c r="U67" s="172"/>
      <c r="V67" s="164"/>
      <c r="W67" s="150"/>
      <c r="X67" s="150"/>
      <c r="Y67" s="249"/>
      <c r="Z67" s="249"/>
      <c r="AA67" s="249"/>
      <c r="AB67" s="249"/>
      <c r="AC67" s="249"/>
      <c r="AD67" s="249"/>
      <c r="AE67" s="249"/>
      <c r="AF67" s="249"/>
      <c r="AG67" s="249"/>
      <c r="AH67" s="249"/>
      <c r="AI67" s="249"/>
      <c r="AJ67" s="249"/>
      <c r="AK67" s="249"/>
      <c r="AL67" s="249"/>
      <c r="AM67" s="249"/>
      <c r="AN67" s="249"/>
      <c r="AO67" s="249"/>
      <c r="AP67" s="249"/>
      <c r="AQ67" s="249"/>
      <c r="AR67" s="249"/>
      <c r="AS67" s="249"/>
      <c r="AT67" s="249"/>
      <c r="AU67" s="249"/>
      <c r="AV67" s="249"/>
      <c r="AW67" s="249"/>
      <c r="AX67" s="249"/>
      <c r="AY67" s="249"/>
      <c r="AZ67" s="249"/>
      <c r="BA67" s="249"/>
      <c r="BB67" s="249"/>
      <c r="BC67" s="249"/>
      <c r="BD67" s="249"/>
      <c r="BE67" s="249"/>
      <c r="BF67" s="249"/>
      <c r="BG67" s="249"/>
      <c r="BH67" s="249"/>
      <c r="BI67" s="249"/>
      <c r="BJ67" s="249"/>
      <c r="BK67" s="249"/>
      <c r="BL67" s="249"/>
      <c r="BM67" s="249"/>
      <c r="BN67" s="249"/>
    </row>
    <row r="68" spans="1:66" ht="13.5" customHeight="1">
      <c r="A68" s="245" t="s">
        <v>105</v>
      </c>
      <c r="B68" s="215">
        <v>386</v>
      </c>
      <c r="C68" s="219">
        <v>48</v>
      </c>
      <c r="D68" s="219">
        <v>144</v>
      </c>
      <c r="E68" s="219">
        <v>283</v>
      </c>
      <c r="F68" s="169">
        <v>2179</v>
      </c>
      <c r="G68" s="253">
        <v>311</v>
      </c>
      <c r="H68" s="253">
        <v>406</v>
      </c>
      <c r="I68" s="169">
        <v>1128</v>
      </c>
      <c r="J68" s="169">
        <v>3662</v>
      </c>
      <c r="K68" s="169">
        <v>1751</v>
      </c>
      <c r="L68" s="169">
        <v>1784</v>
      </c>
      <c r="M68" s="253">
        <v>59</v>
      </c>
      <c r="N68" s="169">
        <v>593</v>
      </c>
      <c r="O68" s="169">
        <v>1693</v>
      </c>
      <c r="P68" s="254">
        <v>1219</v>
      </c>
      <c r="Q68" s="253">
        <v>335</v>
      </c>
      <c r="R68" s="215">
        <v>2368</v>
      </c>
      <c r="S68" s="215">
        <v>154</v>
      </c>
      <c r="T68" s="253">
        <v>442</v>
      </c>
      <c r="U68" s="172">
        <f>SUM(B68:T68)</f>
        <v>18945</v>
      </c>
      <c r="V68" s="167"/>
      <c r="W68" s="167"/>
      <c r="X68" s="167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  <c r="BG68" s="246"/>
      <c r="BH68" s="246"/>
      <c r="BI68" s="246"/>
      <c r="BJ68" s="246"/>
      <c r="BK68" s="246"/>
      <c r="BL68" s="246"/>
      <c r="BM68" s="246"/>
      <c r="BN68" s="246"/>
    </row>
    <row r="69" spans="1:38" ht="12">
      <c r="A69" s="245" t="s">
        <v>115</v>
      </c>
      <c r="B69" s="215">
        <v>116</v>
      </c>
      <c r="C69" s="219">
        <v>8</v>
      </c>
      <c r="D69" s="219">
        <v>8</v>
      </c>
      <c r="E69" s="219">
        <v>169</v>
      </c>
      <c r="F69" s="169">
        <v>1012</v>
      </c>
      <c r="G69" s="253">
        <v>53</v>
      </c>
      <c r="H69" s="169">
        <v>290</v>
      </c>
      <c r="I69" s="169">
        <v>447</v>
      </c>
      <c r="J69" s="169">
        <v>1576</v>
      </c>
      <c r="K69" s="253">
        <v>573</v>
      </c>
      <c r="L69" s="253">
        <v>354</v>
      </c>
      <c r="M69" s="253">
        <v>19</v>
      </c>
      <c r="N69" s="169">
        <v>161</v>
      </c>
      <c r="O69" s="254">
        <v>907</v>
      </c>
      <c r="P69" s="169">
        <v>474</v>
      </c>
      <c r="Q69" s="253">
        <v>19</v>
      </c>
      <c r="R69" s="215">
        <v>735</v>
      </c>
      <c r="S69" s="215">
        <v>39</v>
      </c>
      <c r="T69" s="253">
        <v>25</v>
      </c>
      <c r="U69" s="172">
        <f>SUM(B69:T69)</f>
        <v>6985</v>
      </c>
      <c r="V69" s="167"/>
      <c r="W69" s="167"/>
      <c r="X69" s="167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</row>
    <row r="70" spans="1:66" ht="12">
      <c r="A70" s="245" t="s">
        <v>107</v>
      </c>
      <c r="B70" s="217">
        <f aca="true" t="shared" si="17" ref="B70:U70">+B68+B69</f>
        <v>502</v>
      </c>
      <c r="C70" s="217">
        <f t="shared" si="17"/>
        <v>56</v>
      </c>
      <c r="D70" s="217">
        <f t="shared" si="17"/>
        <v>152</v>
      </c>
      <c r="E70" s="217">
        <f t="shared" si="17"/>
        <v>452</v>
      </c>
      <c r="F70" s="217">
        <f t="shared" si="17"/>
        <v>3191</v>
      </c>
      <c r="G70" s="217">
        <f t="shared" si="17"/>
        <v>364</v>
      </c>
      <c r="H70" s="217">
        <f>+H68+H69</f>
        <v>696</v>
      </c>
      <c r="I70" s="217">
        <f t="shared" si="17"/>
        <v>1575</v>
      </c>
      <c r="J70" s="217">
        <f t="shared" si="17"/>
        <v>5238</v>
      </c>
      <c r="K70" s="217">
        <f t="shared" si="17"/>
        <v>2324</v>
      </c>
      <c r="L70" s="217">
        <f t="shared" si="17"/>
        <v>2138</v>
      </c>
      <c r="M70" s="217">
        <f t="shared" si="17"/>
        <v>78</v>
      </c>
      <c r="N70" s="217">
        <f t="shared" si="17"/>
        <v>754</v>
      </c>
      <c r="O70" s="217">
        <f t="shared" si="17"/>
        <v>2600</v>
      </c>
      <c r="P70" s="217">
        <f t="shared" si="17"/>
        <v>1693</v>
      </c>
      <c r="Q70" s="217">
        <f t="shared" si="17"/>
        <v>354</v>
      </c>
      <c r="R70" s="217">
        <f t="shared" si="17"/>
        <v>3103</v>
      </c>
      <c r="S70" s="217">
        <f t="shared" si="17"/>
        <v>193</v>
      </c>
      <c r="T70" s="217">
        <f t="shared" si="17"/>
        <v>467</v>
      </c>
      <c r="U70" s="217">
        <f t="shared" si="17"/>
        <v>25930</v>
      </c>
      <c r="V70" s="158"/>
      <c r="W70" s="150"/>
      <c r="X70" s="150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246"/>
      <c r="AM70" s="246"/>
      <c r="AN70" s="246"/>
      <c r="AO70" s="246"/>
      <c r="AP70" s="246"/>
      <c r="AQ70" s="246"/>
      <c r="AR70" s="246"/>
      <c r="AS70" s="246"/>
      <c r="AT70" s="246"/>
      <c r="AU70" s="246"/>
      <c r="AV70" s="246"/>
      <c r="AW70" s="246"/>
      <c r="AX70" s="246"/>
      <c r="AY70" s="246"/>
      <c r="AZ70" s="246"/>
      <c r="BA70" s="246"/>
      <c r="BB70" s="246"/>
      <c r="BC70" s="246"/>
      <c r="BD70" s="246"/>
      <c r="BE70" s="246"/>
      <c r="BF70" s="246"/>
      <c r="BG70" s="246"/>
      <c r="BH70" s="246"/>
      <c r="BI70" s="246"/>
      <c r="BJ70" s="246"/>
      <c r="BK70" s="246"/>
      <c r="BL70" s="246"/>
      <c r="BM70" s="246"/>
      <c r="BN70" s="246"/>
    </row>
    <row r="71" spans="1:38" ht="24">
      <c r="A71" s="244" t="s">
        <v>117</v>
      </c>
      <c r="B71" s="169"/>
      <c r="C71" s="170"/>
      <c r="D71" s="170"/>
      <c r="E71" s="170"/>
      <c r="F71" s="169"/>
      <c r="G71" s="169"/>
      <c r="H71" s="171"/>
      <c r="I71" s="169"/>
      <c r="J71" s="172"/>
      <c r="K71" s="170"/>
      <c r="L71" s="172"/>
      <c r="M71" s="172"/>
      <c r="N71" s="170"/>
      <c r="O71" s="169"/>
      <c r="P71" s="172"/>
      <c r="Q71" s="170"/>
      <c r="R71" s="169"/>
      <c r="S71" s="169"/>
      <c r="T71" s="169"/>
      <c r="U71" s="172"/>
      <c r="V71" s="171"/>
      <c r="W71" s="171"/>
      <c r="X71" s="171"/>
      <c r="Y71" s="246"/>
      <c r="Z71" s="246"/>
      <c r="AA71" s="246"/>
      <c r="AB71" s="246"/>
      <c r="AC71" s="246"/>
      <c r="AD71" s="246"/>
      <c r="AE71" s="246"/>
      <c r="AF71" s="246"/>
      <c r="AG71" s="246"/>
      <c r="AH71" s="246"/>
      <c r="AI71" s="246"/>
      <c r="AJ71" s="246"/>
      <c r="AK71" s="246"/>
      <c r="AL71" s="246"/>
    </row>
    <row r="72" spans="1:38" ht="12">
      <c r="A72" s="245" t="s">
        <v>105</v>
      </c>
      <c r="B72" s="215">
        <v>86</v>
      </c>
      <c r="C72" s="219"/>
      <c r="D72" s="219">
        <v>58</v>
      </c>
      <c r="E72" s="219">
        <v>145</v>
      </c>
      <c r="F72" s="169">
        <v>775</v>
      </c>
      <c r="G72" s="253">
        <v>37</v>
      </c>
      <c r="H72" s="254">
        <v>0</v>
      </c>
      <c r="I72" s="169">
        <v>489</v>
      </c>
      <c r="J72" s="254">
        <v>1379</v>
      </c>
      <c r="K72" s="253">
        <v>324</v>
      </c>
      <c r="L72" s="253">
        <v>69</v>
      </c>
      <c r="M72" s="253">
        <v>39</v>
      </c>
      <c r="N72" s="169">
        <v>478</v>
      </c>
      <c r="O72" s="169">
        <v>490</v>
      </c>
      <c r="P72" s="253">
        <v>553</v>
      </c>
      <c r="Q72" s="253">
        <v>90</v>
      </c>
      <c r="R72" s="215">
        <v>678</v>
      </c>
      <c r="S72" s="215">
        <v>178</v>
      </c>
      <c r="T72" s="253">
        <v>195</v>
      </c>
      <c r="U72" s="172">
        <f>SUM(B72:T72)</f>
        <v>6063</v>
      </c>
      <c r="V72" s="150"/>
      <c r="W72" s="150"/>
      <c r="X72" s="150"/>
      <c r="Y72" s="246"/>
      <c r="Z72" s="246"/>
      <c r="AA72" s="246"/>
      <c r="AB72" s="246"/>
      <c r="AC72" s="246"/>
      <c r="AD72" s="246"/>
      <c r="AE72" s="246"/>
      <c r="AF72" s="246"/>
      <c r="AG72" s="246"/>
      <c r="AH72" s="246"/>
      <c r="AI72" s="246"/>
      <c r="AJ72" s="246"/>
      <c r="AK72" s="246"/>
      <c r="AL72" s="246"/>
    </row>
    <row r="73" spans="1:38" ht="12">
      <c r="A73" s="245" t="s">
        <v>115</v>
      </c>
      <c r="B73" s="215">
        <v>10</v>
      </c>
      <c r="C73" s="219"/>
      <c r="D73" s="219">
        <v>2</v>
      </c>
      <c r="E73" s="219">
        <v>64</v>
      </c>
      <c r="F73" s="169">
        <v>154</v>
      </c>
      <c r="G73" s="253">
        <v>3</v>
      </c>
      <c r="H73" s="169">
        <v>106</v>
      </c>
      <c r="I73" s="169">
        <v>171</v>
      </c>
      <c r="J73" s="169">
        <v>651</v>
      </c>
      <c r="K73" s="253">
        <v>115</v>
      </c>
      <c r="L73" s="253">
        <v>5</v>
      </c>
      <c r="M73" s="253">
        <v>9</v>
      </c>
      <c r="N73" s="169">
        <v>105</v>
      </c>
      <c r="O73" s="253">
        <v>232</v>
      </c>
      <c r="P73" s="169">
        <v>138</v>
      </c>
      <c r="Q73" s="253">
        <v>4</v>
      </c>
      <c r="R73" s="215">
        <v>204</v>
      </c>
      <c r="S73" s="215">
        <v>56</v>
      </c>
      <c r="T73" s="253">
        <v>28</v>
      </c>
      <c r="U73" s="172">
        <f>SUM(B73:T73)</f>
        <v>2057</v>
      </c>
      <c r="V73" s="164"/>
      <c r="W73" s="164"/>
      <c r="X73" s="164"/>
      <c r="Y73" s="246"/>
      <c r="Z73" s="246"/>
      <c r="AA73" s="246"/>
      <c r="AB73" s="246"/>
      <c r="AC73" s="246"/>
      <c r="AD73" s="246"/>
      <c r="AE73" s="246"/>
      <c r="AF73" s="246"/>
      <c r="AG73" s="246"/>
      <c r="AH73" s="246"/>
      <c r="AI73" s="246"/>
      <c r="AJ73" s="246"/>
      <c r="AK73" s="246"/>
      <c r="AL73" s="246"/>
    </row>
    <row r="74" spans="1:66" ht="12">
      <c r="A74" s="245" t="s">
        <v>107</v>
      </c>
      <c r="B74" s="217">
        <f aca="true" t="shared" si="18" ref="B74:U74">+B72+B73</f>
        <v>96</v>
      </c>
      <c r="C74" s="217">
        <f t="shared" si="18"/>
        <v>0</v>
      </c>
      <c r="D74" s="217">
        <f t="shared" si="18"/>
        <v>60</v>
      </c>
      <c r="E74" s="217">
        <f t="shared" si="18"/>
        <v>209</v>
      </c>
      <c r="F74" s="217">
        <f t="shared" si="18"/>
        <v>929</v>
      </c>
      <c r="G74" s="217">
        <f t="shared" si="18"/>
        <v>40</v>
      </c>
      <c r="H74" s="217">
        <f t="shared" si="18"/>
        <v>106</v>
      </c>
      <c r="I74" s="217">
        <f t="shared" si="18"/>
        <v>660</v>
      </c>
      <c r="J74" s="217">
        <f t="shared" si="18"/>
        <v>2030</v>
      </c>
      <c r="K74" s="217">
        <f t="shared" si="18"/>
        <v>439</v>
      </c>
      <c r="L74" s="217">
        <f t="shared" si="18"/>
        <v>74</v>
      </c>
      <c r="M74" s="217">
        <f t="shared" si="18"/>
        <v>48</v>
      </c>
      <c r="N74" s="217">
        <f t="shared" si="18"/>
        <v>583</v>
      </c>
      <c r="O74" s="217">
        <f t="shared" si="18"/>
        <v>722</v>
      </c>
      <c r="P74" s="217">
        <f t="shared" si="18"/>
        <v>691</v>
      </c>
      <c r="Q74" s="217">
        <f t="shared" si="18"/>
        <v>94</v>
      </c>
      <c r="R74" s="217">
        <f t="shared" si="18"/>
        <v>882</v>
      </c>
      <c r="S74" s="217">
        <f t="shared" si="18"/>
        <v>234</v>
      </c>
      <c r="T74" s="217">
        <f t="shared" si="18"/>
        <v>223</v>
      </c>
      <c r="U74" s="217">
        <f t="shared" si="18"/>
        <v>8120</v>
      </c>
      <c r="V74" s="158"/>
      <c r="W74" s="150"/>
      <c r="X74" s="150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  <c r="AN74" s="246"/>
      <c r="AO74" s="246"/>
      <c r="AP74" s="246"/>
      <c r="AQ74" s="246"/>
      <c r="AR74" s="246"/>
      <c r="AS74" s="246"/>
      <c r="AT74" s="246"/>
      <c r="AU74" s="246"/>
      <c r="AV74" s="246"/>
      <c r="AW74" s="246"/>
      <c r="AX74" s="246"/>
      <c r="AY74" s="246"/>
      <c r="AZ74" s="246"/>
      <c r="BA74" s="246"/>
      <c r="BB74" s="246"/>
      <c r="BC74" s="246"/>
      <c r="BD74" s="246"/>
      <c r="BE74" s="246"/>
      <c r="BF74" s="246"/>
      <c r="BG74" s="246"/>
      <c r="BH74" s="246"/>
      <c r="BI74" s="246"/>
      <c r="BJ74" s="246"/>
      <c r="BK74" s="246"/>
      <c r="BL74" s="246"/>
      <c r="BM74" s="246"/>
      <c r="BN74" s="246"/>
    </row>
    <row r="75" spans="1:38" ht="12">
      <c r="A75" s="244" t="s">
        <v>111</v>
      </c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72"/>
      <c r="V75" s="163"/>
      <c r="W75" s="163"/>
      <c r="X75" s="163"/>
      <c r="Y75" s="246"/>
      <c r="Z75" s="246"/>
      <c r="AA75" s="246"/>
      <c r="AB75" s="246"/>
      <c r="AC75" s="246"/>
      <c r="AD75" s="246"/>
      <c r="AE75" s="246"/>
      <c r="AF75" s="246"/>
      <c r="AG75" s="246"/>
      <c r="AH75" s="246"/>
      <c r="AI75" s="246"/>
      <c r="AJ75" s="246"/>
      <c r="AK75" s="246"/>
      <c r="AL75" s="246"/>
    </row>
    <row r="76" spans="1:38" ht="12">
      <c r="A76" s="245" t="s">
        <v>105</v>
      </c>
      <c r="B76" s="215"/>
      <c r="C76" s="219">
        <v>317</v>
      </c>
      <c r="D76" s="219"/>
      <c r="E76" s="219"/>
      <c r="F76" s="169"/>
      <c r="G76" s="254">
        <v>1652</v>
      </c>
      <c r="H76" s="254">
        <v>2875</v>
      </c>
      <c r="I76" s="169">
        <v>394</v>
      </c>
      <c r="J76" s="253"/>
      <c r="K76" s="253"/>
      <c r="L76" s="254">
        <v>1243</v>
      </c>
      <c r="M76" s="253">
        <v>571</v>
      </c>
      <c r="N76" s="169"/>
      <c r="O76" s="169"/>
      <c r="P76" s="253"/>
      <c r="Q76" s="253"/>
      <c r="R76" s="215"/>
      <c r="S76" s="215"/>
      <c r="T76" s="253"/>
      <c r="U76" s="172">
        <f>SUM(B76:T76)</f>
        <v>7052</v>
      </c>
      <c r="V76" s="177"/>
      <c r="W76" s="177"/>
      <c r="X76" s="177"/>
      <c r="Y76" s="246"/>
      <c r="Z76" s="246"/>
      <c r="AA76" s="246"/>
      <c r="AB76" s="246"/>
      <c r="AC76" s="246"/>
      <c r="AD76" s="246"/>
      <c r="AE76" s="246"/>
      <c r="AF76" s="246"/>
      <c r="AG76" s="246"/>
      <c r="AH76" s="246"/>
      <c r="AI76" s="246"/>
      <c r="AJ76" s="246"/>
      <c r="AK76" s="246"/>
      <c r="AL76" s="246"/>
    </row>
    <row r="77" spans="1:38" ht="12">
      <c r="A77" s="245" t="s">
        <v>115</v>
      </c>
      <c r="B77" s="215"/>
      <c r="C77" s="219">
        <v>10</v>
      </c>
      <c r="D77" s="219"/>
      <c r="E77" s="219"/>
      <c r="F77" s="169"/>
      <c r="G77" s="253">
        <v>252</v>
      </c>
      <c r="H77" s="169">
        <v>814</v>
      </c>
      <c r="I77" s="169">
        <v>242</v>
      </c>
      <c r="J77" s="169"/>
      <c r="K77" s="253"/>
      <c r="L77" s="253">
        <v>388</v>
      </c>
      <c r="M77" s="253">
        <v>213</v>
      </c>
      <c r="N77" s="169"/>
      <c r="O77" s="253"/>
      <c r="P77" s="169"/>
      <c r="Q77" s="253"/>
      <c r="R77" s="215"/>
      <c r="S77" s="215"/>
      <c r="T77" s="253"/>
      <c r="U77" s="172">
        <f>SUM(B77:T77)</f>
        <v>1919</v>
      </c>
      <c r="V77" s="150"/>
      <c r="W77" s="150"/>
      <c r="X77" s="150"/>
      <c r="Y77" s="246"/>
      <c r="Z77" s="246"/>
      <c r="AA77" s="246"/>
      <c r="AB77" s="246"/>
      <c r="AC77" s="246"/>
      <c r="AD77" s="246"/>
      <c r="AE77" s="246"/>
      <c r="AF77" s="246"/>
      <c r="AG77" s="246"/>
      <c r="AH77" s="246"/>
      <c r="AI77" s="246"/>
      <c r="AJ77" s="246"/>
      <c r="AK77" s="246"/>
      <c r="AL77" s="246"/>
    </row>
    <row r="78" spans="1:66" ht="12">
      <c r="A78" s="245" t="s">
        <v>107</v>
      </c>
      <c r="B78" s="217">
        <f aca="true" t="shared" si="19" ref="B78:U78">+B76+B77</f>
        <v>0</v>
      </c>
      <c r="C78" s="217">
        <f t="shared" si="19"/>
        <v>327</v>
      </c>
      <c r="D78" s="217">
        <f t="shared" si="19"/>
        <v>0</v>
      </c>
      <c r="E78" s="217">
        <f t="shared" si="19"/>
        <v>0</v>
      </c>
      <c r="F78" s="217">
        <f t="shared" si="19"/>
        <v>0</v>
      </c>
      <c r="G78" s="217">
        <f t="shared" si="19"/>
        <v>1904</v>
      </c>
      <c r="H78" s="217">
        <f t="shared" si="19"/>
        <v>3689</v>
      </c>
      <c r="I78" s="217">
        <f t="shared" si="19"/>
        <v>636</v>
      </c>
      <c r="J78" s="217">
        <f t="shared" si="19"/>
        <v>0</v>
      </c>
      <c r="K78" s="217">
        <f t="shared" si="19"/>
        <v>0</v>
      </c>
      <c r="L78" s="217">
        <f t="shared" si="19"/>
        <v>1631</v>
      </c>
      <c r="M78" s="217">
        <f t="shared" si="19"/>
        <v>784</v>
      </c>
      <c r="N78" s="217">
        <f t="shared" si="19"/>
        <v>0</v>
      </c>
      <c r="O78" s="217">
        <f t="shared" si="19"/>
        <v>0</v>
      </c>
      <c r="P78" s="217">
        <f t="shared" si="19"/>
        <v>0</v>
      </c>
      <c r="Q78" s="217">
        <f t="shared" si="19"/>
        <v>0</v>
      </c>
      <c r="R78" s="217">
        <f t="shared" si="19"/>
        <v>0</v>
      </c>
      <c r="S78" s="217">
        <f t="shared" si="19"/>
        <v>0</v>
      </c>
      <c r="T78" s="217">
        <f t="shared" si="19"/>
        <v>0</v>
      </c>
      <c r="U78" s="217">
        <f t="shared" si="19"/>
        <v>8971</v>
      </c>
      <c r="V78" s="158"/>
      <c r="W78" s="150"/>
      <c r="X78" s="150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  <c r="AO78" s="246"/>
      <c r="AP78" s="246"/>
      <c r="AQ78" s="246"/>
      <c r="AR78" s="246"/>
      <c r="AS78" s="246"/>
      <c r="AT78" s="246"/>
      <c r="AU78" s="246"/>
      <c r="AV78" s="246"/>
      <c r="AW78" s="246"/>
      <c r="AX78" s="246"/>
      <c r="AY78" s="246"/>
      <c r="AZ78" s="246"/>
      <c r="BA78" s="246"/>
      <c r="BB78" s="246"/>
      <c r="BC78" s="246"/>
      <c r="BD78" s="246"/>
      <c r="BE78" s="246"/>
      <c r="BF78" s="246"/>
      <c r="BG78" s="246"/>
      <c r="BH78" s="246"/>
      <c r="BI78" s="246"/>
      <c r="BJ78" s="246"/>
      <c r="BK78" s="246"/>
      <c r="BL78" s="246"/>
      <c r="BM78" s="246"/>
      <c r="BN78" s="246"/>
    </row>
    <row r="79" spans="1:38" ht="12">
      <c r="A79" s="244" t="s">
        <v>112</v>
      </c>
      <c r="B79" s="216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51"/>
      <c r="V79" s="150"/>
      <c r="W79" s="150"/>
      <c r="X79" s="150"/>
      <c r="Y79" s="246"/>
      <c r="Z79" s="246"/>
      <c r="AA79" s="246"/>
      <c r="AB79" s="246"/>
      <c r="AC79" s="246"/>
      <c r="AD79" s="246"/>
      <c r="AE79" s="246"/>
      <c r="AF79" s="246"/>
      <c r="AG79" s="246"/>
      <c r="AH79" s="246"/>
      <c r="AI79" s="246"/>
      <c r="AJ79" s="246"/>
      <c r="AK79" s="246"/>
      <c r="AL79" s="246"/>
    </row>
    <row r="80" spans="1:24" ht="12">
      <c r="A80" s="245" t="s">
        <v>105</v>
      </c>
      <c r="B80" s="223">
        <f>+B76+B72+B68+B64+B60</f>
        <v>472</v>
      </c>
      <c r="C80" s="223">
        <f>+C76+C72+C68+C64+C60</f>
        <v>365</v>
      </c>
      <c r="D80" s="223">
        <f aca="true" t="shared" si="20" ref="D80:U80">+D76+D72+D68+D64+D60</f>
        <v>202</v>
      </c>
      <c r="E80" s="223">
        <f t="shared" si="20"/>
        <v>428</v>
      </c>
      <c r="F80" s="223">
        <f t="shared" si="20"/>
        <v>2954</v>
      </c>
      <c r="G80" s="223">
        <f t="shared" si="20"/>
        <v>2006</v>
      </c>
      <c r="H80" s="223">
        <f t="shared" si="20"/>
        <v>3281</v>
      </c>
      <c r="I80" s="223">
        <f t="shared" si="20"/>
        <v>2011</v>
      </c>
      <c r="J80" s="223">
        <f t="shared" si="20"/>
        <v>5041</v>
      </c>
      <c r="K80" s="223">
        <f t="shared" si="20"/>
        <v>2075</v>
      </c>
      <c r="L80" s="223">
        <f t="shared" si="20"/>
        <v>3096</v>
      </c>
      <c r="M80" s="223">
        <f t="shared" si="20"/>
        <v>669</v>
      </c>
      <c r="N80" s="223">
        <f t="shared" si="20"/>
        <v>1071</v>
      </c>
      <c r="O80" s="223">
        <f t="shared" si="20"/>
        <v>3012</v>
      </c>
      <c r="P80" s="223">
        <f t="shared" si="20"/>
        <v>1773</v>
      </c>
      <c r="Q80" s="223">
        <f t="shared" si="20"/>
        <v>426</v>
      </c>
      <c r="R80" s="223">
        <f t="shared" si="20"/>
        <v>3046</v>
      </c>
      <c r="S80" s="223">
        <f t="shared" si="20"/>
        <v>332</v>
      </c>
      <c r="T80" s="223">
        <f t="shared" si="20"/>
        <v>637</v>
      </c>
      <c r="U80" s="223">
        <f t="shared" si="20"/>
        <v>32897</v>
      </c>
      <c r="V80" s="181"/>
      <c r="W80" s="181"/>
      <c r="X80" s="181"/>
    </row>
    <row r="81" spans="1:24" ht="12">
      <c r="A81" s="245" t="s">
        <v>115</v>
      </c>
      <c r="B81" s="223">
        <f>+B77+B73+B69+B65+B61</f>
        <v>143</v>
      </c>
      <c r="C81" s="223">
        <f aca="true" t="shared" si="21" ref="C81:U81">+C77+C73+C69+C65+C61</f>
        <v>18</v>
      </c>
      <c r="D81" s="223">
        <f t="shared" si="21"/>
        <v>12</v>
      </c>
      <c r="E81" s="223">
        <f t="shared" si="21"/>
        <v>315</v>
      </c>
      <c r="F81" s="223">
        <f t="shared" si="21"/>
        <v>1279</v>
      </c>
      <c r="G81" s="223">
        <f t="shared" si="21"/>
        <v>387</v>
      </c>
      <c r="H81" s="223">
        <f t="shared" si="21"/>
        <v>1722</v>
      </c>
      <c r="I81" s="223">
        <f t="shared" si="21"/>
        <v>947</v>
      </c>
      <c r="J81" s="223">
        <f t="shared" si="21"/>
        <v>2764</v>
      </c>
      <c r="K81" s="223">
        <f t="shared" si="21"/>
        <v>798</v>
      </c>
      <c r="L81" s="223">
        <f t="shared" si="21"/>
        <v>800</v>
      </c>
      <c r="M81" s="223">
        <f t="shared" si="21"/>
        <v>271</v>
      </c>
      <c r="N81" s="223">
        <f t="shared" si="21"/>
        <v>326</v>
      </c>
      <c r="O81" s="223">
        <f t="shared" si="21"/>
        <v>1742</v>
      </c>
      <c r="P81" s="223">
        <f t="shared" si="21"/>
        <v>710</v>
      </c>
      <c r="Q81" s="223">
        <f t="shared" si="21"/>
        <v>57</v>
      </c>
      <c r="R81" s="223">
        <f t="shared" si="21"/>
        <v>1140</v>
      </c>
      <c r="S81" s="223">
        <f t="shared" si="21"/>
        <v>104</v>
      </c>
      <c r="T81" s="223">
        <f t="shared" si="21"/>
        <v>58</v>
      </c>
      <c r="U81" s="223">
        <f t="shared" si="21"/>
        <v>13593</v>
      </c>
      <c r="V81" s="181"/>
      <c r="W81" s="181"/>
      <c r="X81" s="181"/>
    </row>
    <row r="82" spans="1:66" ht="12">
      <c r="A82" s="255" t="s">
        <v>107</v>
      </c>
      <c r="B82" s="221">
        <f aca="true" t="shared" si="22" ref="B82:U82">+B80+B81</f>
        <v>615</v>
      </c>
      <c r="C82" s="221">
        <f>+C80+C81</f>
        <v>383</v>
      </c>
      <c r="D82" s="221">
        <f t="shared" si="22"/>
        <v>214</v>
      </c>
      <c r="E82" s="221">
        <f t="shared" si="22"/>
        <v>743</v>
      </c>
      <c r="F82" s="221">
        <f t="shared" si="22"/>
        <v>4233</v>
      </c>
      <c r="G82" s="221">
        <f t="shared" si="22"/>
        <v>2393</v>
      </c>
      <c r="H82" s="221">
        <f t="shared" si="22"/>
        <v>5003</v>
      </c>
      <c r="I82" s="221">
        <f t="shared" si="22"/>
        <v>2958</v>
      </c>
      <c r="J82" s="221">
        <f t="shared" si="22"/>
        <v>7805</v>
      </c>
      <c r="K82" s="221">
        <f t="shared" si="22"/>
        <v>2873</v>
      </c>
      <c r="L82" s="221">
        <f t="shared" si="22"/>
        <v>3896</v>
      </c>
      <c r="M82" s="221">
        <f t="shared" si="22"/>
        <v>940</v>
      </c>
      <c r="N82" s="221">
        <f t="shared" si="22"/>
        <v>1397</v>
      </c>
      <c r="O82" s="221">
        <f t="shared" si="22"/>
        <v>4754</v>
      </c>
      <c r="P82" s="221">
        <f t="shared" si="22"/>
        <v>2483</v>
      </c>
      <c r="Q82" s="221">
        <f t="shared" si="22"/>
        <v>483</v>
      </c>
      <c r="R82" s="221">
        <f t="shared" si="22"/>
        <v>4186</v>
      </c>
      <c r="S82" s="221">
        <f t="shared" si="22"/>
        <v>436</v>
      </c>
      <c r="T82" s="221">
        <f t="shared" si="22"/>
        <v>695</v>
      </c>
      <c r="U82" s="221">
        <f t="shared" si="22"/>
        <v>46490</v>
      </c>
      <c r="V82" s="158"/>
      <c r="W82" s="150"/>
      <c r="X82" s="150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/>
      <c r="AJ82" s="246"/>
      <c r="AK82" s="246"/>
      <c r="AL82" s="246"/>
      <c r="AM82" s="246"/>
      <c r="AN82" s="246"/>
      <c r="AO82" s="246"/>
      <c r="AP82" s="246"/>
      <c r="AQ82" s="246"/>
      <c r="AR82" s="246"/>
      <c r="AS82" s="246"/>
      <c r="AT82" s="246"/>
      <c r="AU82" s="246"/>
      <c r="AV82" s="246"/>
      <c r="AW82" s="246"/>
      <c r="AX82" s="246"/>
      <c r="AY82" s="246"/>
      <c r="AZ82" s="246"/>
      <c r="BA82" s="246"/>
      <c r="BB82" s="246"/>
      <c r="BC82" s="246"/>
      <c r="BD82" s="246"/>
      <c r="BE82" s="246"/>
      <c r="BF82" s="246"/>
      <c r="BG82" s="246"/>
      <c r="BH82" s="246"/>
      <c r="BI82" s="246"/>
      <c r="BJ82" s="246"/>
      <c r="BK82" s="246"/>
      <c r="BL82" s="246"/>
      <c r="BM82" s="246"/>
      <c r="BN82" s="246"/>
    </row>
    <row r="83" spans="1:24" ht="12">
      <c r="A83" s="256" t="s">
        <v>113</v>
      </c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4"/>
      <c r="V83" s="187"/>
      <c r="W83" s="187"/>
      <c r="X83" s="187"/>
    </row>
    <row r="84" spans="1:24" ht="12">
      <c r="A84" s="257" t="s">
        <v>66</v>
      </c>
      <c r="B84" s="258"/>
      <c r="C84" s="223"/>
      <c r="D84" s="258"/>
      <c r="E84" s="223"/>
      <c r="F84" s="258"/>
      <c r="G84" s="258"/>
      <c r="H84" s="258"/>
      <c r="I84" s="258"/>
      <c r="J84" s="258"/>
      <c r="K84" s="223"/>
      <c r="L84" s="258"/>
      <c r="M84" s="258"/>
      <c r="N84" s="223"/>
      <c r="O84" s="258"/>
      <c r="P84" s="258"/>
      <c r="Q84" s="223"/>
      <c r="R84" s="258"/>
      <c r="S84" s="258"/>
      <c r="T84" s="258"/>
      <c r="U84" s="224"/>
      <c r="V84" s="190"/>
      <c r="W84" s="190"/>
      <c r="X84" s="190"/>
    </row>
    <row r="85" spans="1:24" ht="12">
      <c r="A85" s="259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192"/>
      <c r="W85" s="192"/>
      <c r="X85" s="192"/>
    </row>
    <row r="86" spans="1:24" ht="12">
      <c r="A86" s="260"/>
      <c r="B86" s="200"/>
      <c r="C86" s="225"/>
      <c r="D86" s="225"/>
      <c r="E86" s="225"/>
      <c r="F86" s="200"/>
      <c r="G86" s="200"/>
      <c r="H86" s="200"/>
      <c r="I86" s="200"/>
      <c r="J86" s="200"/>
      <c r="K86" s="225"/>
      <c r="L86" s="200"/>
      <c r="M86" s="200"/>
      <c r="N86" s="225"/>
      <c r="O86" s="200"/>
      <c r="P86" s="200"/>
      <c r="Q86" s="225"/>
      <c r="R86" s="200"/>
      <c r="S86" s="200"/>
      <c r="T86" s="200"/>
      <c r="U86" s="224"/>
      <c r="V86" s="200"/>
      <c r="W86" s="200"/>
      <c r="X86" s="200"/>
    </row>
    <row r="87" spans="1:24" ht="12">
      <c r="A87" s="260"/>
      <c r="B87" s="200"/>
      <c r="C87" s="225"/>
      <c r="D87" s="225"/>
      <c r="E87" s="225"/>
      <c r="F87" s="200"/>
      <c r="G87" s="200"/>
      <c r="H87" s="200"/>
      <c r="I87" s="200"/>
      <c r="J87" s="200"/>
      <c r="K87" s="225"/>
      <c r="L87" s="200"/>
      <c r="M87" s="200"/>
      <c r="N87" s="225"/>
      <c r="O87" s="200"/>
      <c r="P87" s="200"/>
      <c r="Q87" s="225"/>
      <c r="R87" s="200"/>
      <c r="S87" s="200"/>
      <c r="T87" s="200"/>
      <c r="U87" s="224"/>
      <c r="V87" s="200"/>
      <c r="W87" s="200"/>
      <c r="X87" s="200"/>
    </row>
    <row r="88" spans="1:24" ht="12">
      <c r="A88" s="260"/>
      <c r="B88" s="200"/>
      <c r="C88" s="225"/>
      <c r="D88" s="225"/>
      <c r="E88" s="225"/>
      <c r="F88" s="200"/>
      <c r="G88" s="200"/>
      <c r="H88" s="200"/>
      <c r="I88" s="200"/>
      <c r="J88" s="200"/>
      <c r="K88" s="225"/>
      <c r="L88" s="200"/>
      <c r="M88" s="200"/>
      <c r="N88" s="225"/>
      <c r="O88" s="200"/>
      <c r="P88" s="200"/>
      <c r="Q88" s="225"/>
      <c r="R88" s="200"/>
      <c r="S88" s="200"/>
      <c r="T88" s="200"/>
      <c r="U88" s="224"/>
      <c r="V88" s="200"/>
      <c r="W88" s="200"/>
      <c r="X88" s="200"/>
    </row>
    <row r="89" spans="1:24" ht="12">
      <c r="A89" s="260"/>
      <c r="B89" s="200"/>
      <c r="C89" s="225"/>
      <c r="D89" s="225"/>
      <c r="E89" s="225"/>
      <c r="F89" s="200"/>
      <c r="G89" s="200"/>
      <c r="H89" s="200"/>
      <c r="I89" s="200"/>
      <c r="J89" s="200"/>
      <c r="K89" s="225"/>
      <c r="L89" s="200"/>
      <c r="M89" s="200"/>
      <c r="N89" s="225"/>
      <c r="O89" s="200"/>
      <c r="P89" s="200"/>
      <c r="Q89" s="225"/>
      <c r="R89" s="200"/>
      <c r="S89" s="200"/>
      <c r="T89" s="200"/>
      <c r="U89" s="224"/>
      <c r="V89" s="200"/>
      <c r="W89" s="200"/>
      <c r="X89" s="200"/>
    </row>
    <row r="90" spans="1:24" ht="12">
      <c r="A90" s="260"/>
      <c r="B90" s="200"/>
      <c r="C90" s="225"/>
      <c r="D90" s="225"/>
      <c r="E90" s="225"/>
      <c r="F90" s="200"/>
      <c r="G90" s="200"/>
      <c r="H90" s="200"/>
      <c r="I90" s="200"/>
      <c r="J90" s="225"/>
      <c r="K90" s="225"/>
      <c r="L90" s="200"/>
      <c r="M90" s="200"/>
      <c r="N90" s="225"/>
      <c r="O90" s="200"/>
      <c r="P90" s="200"/>
      <c r="Q90" s="225"/>
      <c r="R90" s="200"/>
      <c r="S90" s="200"/>
      <c r="T90" s="200"/>
      <c r="U90" s="224"/>
      <c r="V90" s="200"/>
      <c r="W90" s="200"/>
      <c r="X90" s="200"/>
    </row>
    <row r="91" spans="1:24" ht="12">
      <c r="A91" s="260"/>
      <c r="B91" s="200"/>
      <c r="C91" s="225"/>
      <c r="D91" s="200"/>
      <c r="E91" s="225"/>
      <c r="F91" s="200"/>
      <c r="G91" s="200"/>
      <c r="H91" s="200"/>
      <c r="I91" s="200"/>
      <c r="J91" s="200"/>
      <c r="K91" s="225"/>
      <c r="L91" s="200"/>
      <c r="M91" s="200"/>
      <c r="N91" s="225"/>
      <c r="O91" s="200"/>
      <c r="P91" s="200"/>
      <c r="Q91" s="225"/>
      <c r="R91" s="200"/>
      <c r="S91" s="200"/>
      <c r="T91" s="200"/>
      <c r="U91" s="224"/>
      <c r="V91" s="200"/>
      <c r="W91" s="200"/>
      <c r="X91" s="200"/>
    </row>
    <row r="92" spans="1:24" ht="12">
      <c r="A92" s="261"/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24"/>
      <c r="V92" s="203"/>
      <c r="W92" s="203"/>
      <c r="X92" s="203"/>
    </row>
    <row r="93" spans="1:24" ht="12">
      <c r="A93" s="225"/>
      <c r="B93" s="200"/>
      <c r="C93" s="225"/>
      <c r="D93" s="200"/>
      <c r="E93" s="225"/>
      <c r="F93" s="200"/>
      <c r="G93" s="200"/>
      <c r="H93" s="200"/>
      <c r="I93" s="200"/>
      <c r="J93" s="200"/>
      <c r="K93" s="225"/>
      <c r="L93" s="200"/>
      <c r="M93" s="200"/>
      <c r="N93" s="225"/>
      <c r="O93" s="200"/>
      <c r="P93" s="225"/>
      <c r="Q93" s="225"/>
      <c r="R93" s="200"/>
      <c r="S93" s="200"/>
      <c r="T93" s="200"/>
      <c r="U93" s="224"/>
      <c r="V93" s="200"/>
      <c r="W93" s="200"/>
      <c r="X93" s="200"/>
    </row>
    <row r="94" spans="1:24" ht="12">
      <c r="A94" s="164"/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</row>
    <row r="95" spans="1:24" ht="12">
      <c r="A95" s="262"/>
      <c r="B95" s="226"/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63"/>
      <c r="V95" s="203"/>
      <c r="W95" s="203"/>
      <c r="X95" s="203"/>
    </row>
  </sheetData>
  <sheetProtection/>
  <mergeCells count="1">
    <mergeCell ref="B3:T3"/>
  </mergeCells>
  <printOptions/>
  <pageMargins left="0.5511811023622047" right="0.2362204724409449" top="0.5511811023622047" bottom="0.1968503937007874" header="0.5118110236220472" footer="0.2362204724409449"/>
  <pageSetup fitToHeight="1" fitToWidth="1" orientation="portrait" paperSize="9" scale="68" r:id="rId1"/>
  <headerFooter alignWithMargins="0">
    <oddHeader>&amp;R&amp;F</oddHeader>
    <oddFooter>&amp;LComune di Bologna - Dipartimento Programmazione - Settore Statistica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5"/>
  <sheetViews>
    <sheetView showZeros="0" zoomScale="85" zoomScaleNormal="85" zoomScalePageLayoutView="0" workbookViewId="0" topLeftCell="A1">
      <pane ySplit="7" topLeftCell="A8" activePane="bottomLeft" state="frozen"/>
      <selection pane="topLeft" activeCell="T1" sqref="T1:T16384"/>
      <selection pane="bottomLeft" activeCell="T1" sqref="T1:T16384"/>
    </sheetView>
  </sheetViews>
  <sheetFormatPr defaultColWidth="10.875" defaultRowHeight="12"/>
  <cols>
    <col min="1" max="1" width="30.875" style="138" customWidth="1"/>
    <col min="2" max="5" width="6.625" style="138" customWidth="1"/>
    <col min="6" max="10" width="7.625" style="138" customWidth="1"/>
    <col min="11" max="11" width="9.75390625" style="138" customWidth="1"/>
    <col min="12" max="15" width="7.625" style="138" customWidth="1"/>
    <col min="16" max="16" width="9.875" style="138" customWidth="1"/>
    <col min="17" max="19" width="7.625" style="138" customWidth="1"/>
    <col min="20" max="20" width="9.00390625" style="138" customWidth="1"/>
    <col min="21" max="21" width="8.00390625" style="138" customWidth="1"/>
    <col min="22" max="23" width="9.875" style="138" customWidth="1"/>
    <col min="24" max="16384" width="10.875" style="138" customWidth="1"/>
  </cols>
  <sheetData>
    <row r="1" spans="1:21" s="120" customFormat="1" ht="15" customHeight="1">
      <c r="A1" s="227" t="s">
        <v>116</v>
      </c>
      <c r="B1" s="209"/>
      <c r="C1" s="209"/>
      <c r="D1" s="209"/>
      <c r="E1" s="209"/>
      <c r="F1" s="209"/>
      <c r="G1" s="209"/>
      <c r="H1" s="227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28"/>
      <c r="T1" s="209"/>
      <c r="U1" s="228"/>
    </row>
    <row r="2" spans="1:21" s="131" customFormat="1" ht="15">
      <c r="A2" s="229" t="s">
        <v>128</v>
      </c>
      <c r="B2" s="211"/>
      <c r="C2" s="211"/>
      <c r="D2" s="230"/>
      <c r="E2" s="211"/>
      <c r="F2" s="231"/>
      <c r="G2" s="230"/>
      <c r="H2" s="232"/>
      <c r="I2" s="211"/>
      <c r="J2" s="233"/>
      <c r="K2" s="234" t="s">
        <v>0</v>
      </c>
      <c r="L2" s="211"/>
      <c r="M2" s="211"/>
      <c r="N2" s="211"/>
      <c r="O2" s="211"/>
      <c r="P2" s="211"/>
      <c r="Q2" s="211"/>
      <c r="R2" s="233"/>
      <c r="S2" s="235"/>
      <c r="T2" s="211"/>
      <c r="U2" s="236"/>
    </row>
    <row r="3" spans="1:21" s="135" customFormat="1" ht="12">
      <c r="A3" s="237"/>
      <c r="B3" s="268" t="s">
        <v>2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38" t="s">
        <v>103</v>
      </c>
    </row>
    <row r="4" spans="1:21" ht="12">
      <c r="A4" s="237"/>
      <c r="B4" s="239" t="s">
        <v>14</v>
      </c>
      <c r="C4" s="212" t="s">
        <v>77</v>
      </c>
      <c r="D4" s="212" t="s">
        <v>11</v>
      </c>
      <c r="E4" s="212" t="s">
        <v>17</v>
      </c>
      <c r="F4" s="212" t="s">
        <v>7</v>
      </c>
      <c r="G4" s="239" t="s">
        <v>89</v>
      </c>
      <c r="H4" s="212" t="s">
        <v>5</v>
      </c>
      <c r="I4" s="239" t="s">
        <v>13</v>
      </c>
      <c r="J4" s="212" t="s">
        <v>8</v>
      </c>
      <c r="K4" s="212" t="s">
        <v>15</v>
      </c>
      <c r="L4" s="212" t="s">
        <v>10</v>
      </c>
      <c r="M4" s="212" t="s">
        <v>10</v>
      </c>
      <c r="N4" s="212" t="s">
        <v>16</v>
      </c>
      <c r="O4" s="239" t="s">
        <v>6</v>
      </c>
      <c r="P4" s="212" t="s">
        <v>6</v>
      </c>
      <c r="Q4" s="212" t="s">
        <v>79</v>
      </c>
      <c r="R4" s="212" t="s">
        <v>6</v>
      </c>
      <c r="S4" s="212" t="s">
        <v>6</v>
      </c>
      <c r="T4" s="239" t="s">
        <v>9</v>
      </c>
      <c r="U4" s="239"/>
    </row>
    <row r="5" spans="1:21" ht="12">
      <c r="A5" s="237"/>
      <c r="B5" s="239" t="s">
        <v>31</v>
      </c>
      <c r="C5" s="212" t="s">
        <v>78</v>
      </c>
      <c r="D5" s="212" t="s">
        <v>28</v>
      </c>
      <c r="E5" s="212" t="s">
        <v>35</v>
      </c>
      <c r="F5" s="212" t="s">
        <v>21</v>
      </c>
      <c r="G5" s="212" t="s">
        <v>29</v>
      </c>
      <c r="H5" s="212" t="s">
        <v>19</v>
      </c>
      <c r="I5" s="239" t="s">
        <v>30</v>
      </c>
      <c r="J5" s="212" t="s">
        <v>23</v>
      </c>
      <c r="K5" s="212" t="s">
        <v>33</v>
      </c>
      <c r="L5" s="212" t="s">
        <v>26</v>
      </c>
      <c r="M5" s="212" t="s">
        <v>32</v>
      </c>
      <c r="N5" s="212" t="s">
        <v>34</v>
      </c>
      <c r="O5" s="239" t="s">
        <v>24</v>
      </c>
      <c r="P5" s="212" t="s">
        <v>96</v>
      </c>
      <c r="Q5" s="212" t="s">
        <v>84</v>
      </c>
      <c r="R5" s="212" t="s">
        <v>20</v>
      </c>
      <c r="S5" s="239" t="s">
        <v>22</v>
      </c>
      <c r="T5" s="239" t="s">
        <v>101</v>
      </c>
      <c r="U5" s="239"/>
    </row>
    <row r="6" spans="1:21" ht="12">
      <c r="A6" s="225"/>
      <c r="B6" s="225"/>
      <c r="C6" s="212"/>
      <c r="D6" s="212" t="s">
        <v>44</v>
      </c>
      <c r="E6" s="212" t="s">
        <v>46</v>
      </c>
      <c r="F6" s="239"/>
      <c r="G6" s="225"/>
      <c r="H6" s="212" t="s">
        <v>36</v>
      </c>
      <c r="I6" s="225"/>
      <c r="J6" s="212" t="s">
        <v>39</v>
      </c>
      <c r="K6" s="212" t="s">
        <v>95</v>
      </c>
      <c r="L6" s="212" t="s">
        <v>42</v>
      </c>
      <c r="M6" s="212" t="s">
        <v>45</v>
      </c>
      <c r="N6" s="212"/>
      <c r="O6" s="240" t="s">
        <v>40</v>
      </c>
      <c r="P6" s="212" t="s">
        <v>97</v>
      </c>
      <c r="Q6" s="212" t="s">
        <v>85</v>
      </c>
      <c r="R6" s="212" t="s">
        <v>37</v>
      </c>
      <c r="S6" s="239" t="s">
        <v>38</v>
      </c>
      <c r="T6" s="239" t="s">
        <v>99</v>
      </c>
      <c r="U6" s="239"/>
    </row>
    <row r="7" spans="1:21" s="131" customFormat="1" ht="12">
      <c r="A7" s="241"/>
      <c r="B7" s="242"/>
      <c r="C7" s="213"/>
      <c r="D7" s="242"/>
      <c r="E7" s="213" t="s">
        <v>93</v>
      </c>
      <c r="F7" s="242"/>
      <c r="G7" s="242"/>
      <c r="H7" s="241"/>
      <c r="I7" s="242"/>
      <c r="J7" s="213" t="s">
        <v>47</v>
      </c>
      <c r="K7" s="213" t="s">
        <v>94</v>
      </c>
      <c r="L7" s="213" t="s">
        <v>50</v>
      </c>
      <c r="M7" s="213" t="s">
        <v>51</v>
      </c>
      <c r="N7" s="213"/>
      <c r="O7" s="242" t="s">
        <v>48</v>
      </c>
      <c r="P7" s="213" t="s">
        <v>98</v>
      </c>
      <c r="Q7" s="213"/>
      <c r="R7" s="242"/>
      <c r="S7" s="242"/>
      <c r="T7" s="242" t="s">
        <v>100</v>
      </c>
      <c r="U7" s="242"/>
    </row>
    <row r="8" spans="2:21" s="135" customFormat="1" ht="12">
      <c r="B8" s="214"/>
      <c r="C8" s="214"/>
      <c r="E8" s="214"/>
      <c r="F8" s="214"/>
      <c r="G8" s="214"/>
      <c r="H8" s="214"/>
      <c r="I8" s="214"/>
      <c r="J8" s="218"/>
      <c r="K8" s="214" t="s">
        <v>54</v>
      </c>
      <c r="L8" s="214"/>
      <c r="M8" s="214"/>
      <c r="N8" s="214"/>
      <c r="O8" s="214"/>
      <c r="P8" s="243"/>
      <c r="Q8" s="214"/>
      <c r="R8" s="214"/>
      <c r="S8" s="214"/>
      <c r="T8" s="214"/>
      <c r="U8" s="214"/>
    </row>
    <row r="9" spans="1:66" s="120" customFormat="1" ht="12">
      <c r="A9" s="244" t="s">
        <v>104</v>
      </c>
      <c r="B9" s="215"/>
      <c r="C9" s="215"/>
      <c r="D9" s="169"/>
      <c r="E9" s="169"/>
      <c r="F9" s="169"/>
      <c r="G9" s="169"/>
      <c r="H9" s="215"/>
      <c r="I9" s="169"/>
      <c r="J9" s="169"/>
      <c r="K9" s="215"/>
      <c r="L9" s="169"/>
      <c r="M9" s="169"/>
      <c r="N9" s="169"/>
      <c r="O9" s="169"/>
      <c r="P9" s="169"/>
      <c r="Q9" s="169"/>
      <c r="R9" s="215"/>
      <c r="S9" s="215"/>
      <c r="T9" s="215"/>
      <c r="U9" s="172"/>
      <c r="V9" s="150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</row>
    <row r="10" spans="1:66" ht="12">
      <c r="A10" s="245" t="s">
        <v>105</v>
      </c>
      <c r="B10" s="215">
        <f aca="true" t="shared" si="0" ref="B10:T12">+B35+B60</f>
        <v>0</v>
      </c>
      <c r="C10" s="215">
        <f t="shared" si="0"/>
        <v>0</v>
      </c>
      <c r="D10" s="215">
        <f t="shared" si="0"/>
        <v>0</v>
      </c>
      <c r="E10" s="215">
        <f t="shared" si="0"/>
        <v>0</v>
      </c>
      <c r="F10" s="215">
        <f t="shared" si="0"/>
        <v>0</v>
      </c>
      <c r="G10" s="215">
        <f t="shared" si="0"/>
        <v>17</v>
      </c>
      <c r="H10" s="215">
        <f t="shared" si="0"/>
        <v>0</v>
      </c>
      <c r="I10" s="215">
        <f t="shared" si="0"/>
        <v>0</v>
      </c>
      <c r="J10" s="215">
        <f t="shared" si="0"/>
        <v>0</v>
      </c>
      <c r="K10" s="215">
        <f t="shared" si="0"/>
        <v>0</v>
      </c>
      <c r="L10" s="215">
        <f t="shared" si="0"/>
        <v>2</v>
      </c>
      <c r="M10" s="215">
        <f t="shared" si="0"/>
        <v>0</v>
      </c>
      <c r="N10" s="215">
        <f t="shared" si="0"/>
        <v>0</v>
      </c>
      <c r="O10" s="215">
        <f t="shared" si="0"/>
        <v>860</v>
      </c>
      <c r="P10" s="215">
        <f t="shared" si="0"/>
        <v>1</v>
      </c>
      <c r="Q10" s="215">
        <f t="shared" si="0"/>
        <v>2</v>
      </c>
      <c r="R10" s="215">
        <f t="shared" si="0"/>
        <v>0</v>
      </c>
      <c r="S10" s="215">
        <f t="shared" si="0"/>
        <v>0</v>
      </c>
      <c r="T10" s="215">
        <f t="shared" si="0"/>
        <v>0</v>
      </c>
      <c r="U10" s="172">
        <f>SUM(B10:T10)</f>
        <v>882</v>
      </c>
      <c r="V10" s="150"/>
      <c r="W10" s="150"/>
      <c r="X10" s="150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6"/>
    </row>
    <row r="11" spans="1:66" ht="12">
      <c r="A11" s="245" t="s">
        <v>115</v>
      </c>
      <c r="B11" s="215">
        <f t="shared" si="0"/>
        <v>71</v>
      </c>
      <c r="C11" s="215">
        <f t="shared" si="0"/>
        <v>0</v>
      </c>
      <c r="D11" s="215">
        <f t="shared" si="0"/>
        <v>12</v>
      </c>
      <c r="E11" s="215">
        <f t="shared" si="0"/>
        <v>137</v>
      </c>
      <c r="F11" s="215">
        <f t="shared" si="0"/>
        <v>296</v>
      </c>
      <c r="G11" s="215">
        <f t="shared" si="0"/>
        <v>145</v>
      </c>
      <c r="H11" s="215">
        <f t="shared" si="0"/>
        <v>1070</v>
      </c>
      <c r="I11" s="215">
        <f>+I36+I61</f>
        <v>621</v>
      </c>
      <c r="J11" s="215">
        <f t="shared" si="0"/>
        <v>1103</v>
      </c>
      <c r="K11" s="215">
        <f t="shared" si="0"/>
        <v>172</v>
      </c>
      <c r="L11" s="215">
        <f t="shared" si="0"/>
        <v>126</v>
      </c>
      <c r="M11" s="215">
        <f t="shared" si="0"/>
        <v>54</v>
      </c>
      <c r="N11" s="215">
        <f t="shared" si="0"/>
        <v>97</v>
      </c>
      <c r="O11" s="215">
        <f t="shared" si="0"/>
        <v>702</v>
      </c>
      <c r="P11" s="215">
        <f t="shared" si="0"/>
        <v>274</v>
      </c>
      <c r="Q11" s="215">
        <f t="shared" si="0"/>
        <v>86</v>
      </c>
      <c r="R11" s="215">
        <f t="shared" si="0"/>
        <v>475</v>
      </c>
      <c r="S11" s="215">
        <f t="shared" si="0"/>
        <v>23</v>
      </c>
      <c r="T11" s="215">
        <f t="shared" si="0"/>
        <v>7</v>
      </c>
      <c r="U11" s="172">
        <f>SUM(B11:T11)</f>
        <v>5471</v>
      </c>
      <c r="V11" s="150"/>
      <c r="W11" s="150"/>
      <c r="X11" s="150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</row>
    <row r="12" spans="1:66" ht="12">
      <c r="A12" s="245" t="s">
        <v>107</v>
      </c>
      <c r="B12" s="215">
        <f t="shared" si="0"/>
        <v>71</v>
      </c>
      <c r="C12" s="215">
        <f t="shared" si="0"/>
        <v>0</v>
      </c>
      <c r="D12" s="215">
        <f t="shared" si="0"/>
        <v>12</v>
      </c>
      <c r="E12" s="215">
        <f t="shared" si="0"/>
        <v>137</v>
      </c>
      <c r="F12" s="215">
        <f t="shared" si="0"/>
        <v>296</v>
      </c>
      <c r="G12" s="215">
        <f t="shared" si="0"/>
        <v>162</v>
      </c>
      <c r="H12" s="215">
        <f t="shared" si="0"/>
        <v>1070</v>
      </c>
      <c r="I12" s="215">
        <f t="shared" si="0"/>
        <v>621</v>
      </c>
      <c r="J12" s="215">
        <f t="shared" si="0"/>
        <v>1103</v>
      </c>
      <c r="K12" s="215">
        <f t="shared" si="0"/>
        <v>172</v>
      </c>
      <c r="L12" s="215">
        <f t="shared" si="0"/>
        <v>128</v>
      </c>
      <c r="M12" s="215">
        <f t="shared" si="0"/>
        <v>54</v>
      </c>
      <c r="N12" s="215">
        <f t="shared" si="0"/>
        <v>97</v>
      </c>
      <c r="O12" s="215">
        <f t="shared" si="0"/>
        <v>1562</v>
      </c>
      <c r="P12" s="215">
        <f t="shared" si="0"/>
        <v>275</v>
      </c>
      <c r="Q12" s="215">
        <f t="shared" si="0"/>
        <v>88</v>
      </c>
      <c r="R12" s="215">
        <f t="shared" si="0"/>
        <v>475</v>
      </c>
      <c r="S12" s="215">
        <f t="shared" si="0"/>
        <v>23</v>
      </c>
      <c r="T12" s="215">
        <f t="shared" si="0"/>
        <v>7</v>
      </c>
      <c r="U12" s="217">
        <f>+U10+U11</f>
        <v>6353</v>
      </c>
      <c r="V12" s="158"/>
      <c r="W12" s="150"/>
      <c r="X12" s="150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</row>
    <row r="13" spans="1:66" ht="12">
      <c r="A13" s="244" t="s">
        <v>108</v>
      </c>
      <c r="B13" s="215"/>
      <c r="C13" s="169"/>
      <c r="D13" s="169"/>
      <c r="E13" s="169"/>
      <c r="F13" s="169"/>
      <c r="G13" s="169"/>
      <c r="H13" s="215"/>
      <c r="I13" s="169"/>
      <c r="J13" s="169"/>
      <c r="K13" s="215"/>
      <c r="L13" s="169"/>
      <c r="M13" s="169"/>
      <c r="N13" s="169"/>
      <c r="O13" s="169"/>
      <c r="P13" s="169"/>
      <c r="Q13" s="169"/>
      <c r="R13" s="215"/>
      <c r="S13" s="215"/>
      <c r="T13" s="215"/>
      <c r="U13" s="172"/>
      <c r="V13" s="158"/>
      <c r="W13" s="150"/>
      <c r="X13" s="150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</row>
    <row r="14" spans="1:66" ht="12">
      <c r="A14" s="245" t="s">
        <v>105</v>
      </c>
      <c r="B14" s="215">
        <f aca="true" t="shared" si="1" ref="B14:T16">+B39+B64</f>
        <v>0</v>
      </c>
      <c r="C14" s="215">
        <f t="shared" si="1"/>
        <v>0</v>
      </c>
      <c r="D14" s="215">
        <f t="shared" si="1"/>
        <v>0</v>
      </c>
      <c r="E14" s="215">
        <f t="shared" si="1"/>
        <v>0</v>
      </c>
      <c r="F14" s="215">
        <f t="shared" si="1"/>
        <v>0</v>
      </c>
      <c r="G14" s="215">
        <f t="shared" si="1"/>
        <v>0</v>
      </c>
      <c r="H14" s="215">
        <f t="shared" si="1"/>
        <v>0</v>
      </c>
      <c r="I14" s="215">
        <f t="shared" si="1"/>
        <v>0</v>
      </c>
      <c r="J14" s="215">
        <f t="shared" si="1"/>
        <v>0</v>
      </c>
      <c r="K14" s="215">
        <f t="shared" si="1"/>
        <v>0</v>
      </c>
      <c r="L14" s="215">
        <f t="shared" si="1"/>
        <v>0</v>
      </c>
      <c r="M14" s="215">
        <f t="shared" si="1"/>
        <v>0</v>
      </c>
      <c r="N14" s="215">
        <f t="shared" si="1"/>
        <v>0</v>
      </c>
      <c r="O14" s="215">
        <f t="shared" si="1"/>
        <v>0</v>
      </c>
      <c r="P14" s="215">
        <f t="shared" si="1"/>
        <v>0</v>
      </c>
      <c r="Q14" s="215">
        <f t="shared" si="1"/>
        <v>0</v>
      </c>
      <c r="R14" s="215">
        <f t="shared" si="1"/>
        <v>0</v>
      </c>
      <c r="S14" s="215">
        <f t="shared" si="1"/>
        <v>0</v>
      </c>
      <c r="T14" s="215">
        <f t="shared" si="1"/>
        <v>0</v>
      </c>
      <c r="U14" s="172">
        <f>SUM(B14:T14)</f>
        <v>0</v>
      </c>
      <c r="V14" s="158"/>
      <c r="W14" s="150"/>
      <c r="X14" s="150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</row>
    <row r="15" spans="1:66" s="248" customFormat="1" ht="12">
      <c r="A15" s="245" t="s">
        <v>115</v>
      </c>
      <c r="B15" s="215">
        <f t="shared" si="1"/>
        <v>1</v>
      </c>
      <c r="C15" s="215">
        <f t="shared" si="1"/>
        <v>0</v>
      </c>
      <c r="D15" s="215">
        <f t="shared" si="1"/>
        <v>0</v>
      </c>
      <c r="E15" s="215">
        <f t="shared" si="1"/>
        <v>3</v>
      </c>
      <c r="F15" s="215">
        <f t="shared" si="1"/>
        <v>5</v>
      </c>
      <c r="G15" s="215">
        <f t="shared" si="1"/>
        <v>0</v>
      </c>
      <c r="H15" s="215">
        <f t="shared" si="1"/>
        <v>2</v>
      </c>
      <c r="I15" s="215">
        <f t="shared" si="1"/>
        <v>4</v>
      </c>
      <c r="J15" s="215">
        <f t="shared" si="1"/>
        <v>0</v>
      </c>
      <c r="K15" s="215">
        <f t="shared" si="1"/>
        <v>0</v>
      </c>
      <c r="L15" s="215">
        <f t="shared" si="1"/>
        <v>1</v>
      </c>
      <c r="M15" s="215">
        <f t="shared" si="1"/>
        <v>0</v>
      </c>
      <c r="N15" s="215">
        <f t="shared" si="1"/>
        <v>0</v>
      </c>
      <c r="O15" s="215">
        <f t="shared" si="1"/>
        <v>1</v>
      </c>
      <c r="P15" s="215">
        <f t="shared" si="1"/>
        <v>0</v>
      </c>
      <c r="Q15" s="215">
        <f t="shared" si="1"/>
        <v>0</v>
      </c>
      <c r="R15" s="215">
        <f t="shared" si="1"/>
        <v>1</v>
      </c>
      <c r="S15" s="215">
        <f t="shared" si="1"/>
        <v>1</v>
      </c>
      <c r="T15" s="215">
        <f t="shared" si="1"/>
        <v>0</v>
      </c>
      <c r="U15" s="172">
        <f>SUM(B15:T15)</f>
        <v>19</v>
      </c>
      <c r="V15" s="164"/>
      <c r="W15" s="150"/>
      <c r="X15" s="150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247"/>
      <c r="BC15" s="247"/>
      <c r="BD15" s="247"/>
      <c r="BE15" s="247"/>
      <c r="BF15" s="247"/>
      <c r="BG15" s="247"/>
      <c r="BH15" s="247"/>
      <c r="BI15" s="247"/>
      <c r="BJ15" s="247"/>
      <c r="BK15" s="247"/>
      <c r="BL15" s="247"/>
      <c r="BM15" s="247"/>
      <c r="BN15" s="247"/>
    </row>
    <row r="16" spans="1:66" ht="12">
      <c r="A16" s="245" t="s">
        <v>107</v>
      </c>
      <c r="B16" s="215">
        <f t="shared" si="1"/>
        <v>1</v>
      </c>
      <c r="C16" s="215">
        <f t="shared" si="1"/>
        <v>0</v>
      </c>
      <c r="D16" s="215">
        <f t="shared" si="1"/>
        <v>0</v>
      </c>
      <c r="E16" s="215">
        <f t="shared" si="1"/>
        <v>3</v>
      </c>
      <c r="F16" s="215">
        <f t="shared" si="1"/>
        <v>5</v>
      </c>
      <c r="G16" s="215">
        <f t="shared" si="1"/>
        <v>0</v>
      </c>
      <c r="H16" s="215">
        <f t="shared" si="1"/>
        <v>2</v>
      </c>
      <c r="I16" s="215">
        <f t="shared" si="1"/>
        <v>4</v>
      </c>
      <c r="J16" s="215">
        <f t="shared" si="1"/>
        <v>0</v>
      </c>
      <c r="K16" s="215">
        <f t="shared" si="1"/>
        <v>0</v>
      </c>
      <c r="L16" s="215">
        <f t="shared" si="1"/>
        <v>1</v>
      </c>
      <c r="M16" s="215">
        <f t="shared" si="1"/>
        <v>0</v>
      </c>
      <c r="N16" s="215">
        <f t="shared" si="1"/>
        <v>0</v>
      </c>
      <c r="O16" s="215">
        <f t="shared" si="1"/>
        <v>1</v>
      </c>
      <c r="P16" s="215">
        <f t="shared" si="1"/>
        <v>0</v>
      </c>
      <c r="Q16" s="215">
        <f t="shared" si="1"/>
        <v>0</v>
      </c>
      <c r="R16" s="215">
        <f t="shared" si="1"/>
        <v>1</v>
      </c>
      <c r="S16" s="215">
        <f t="shared" si="1"/>
        <v>1</v>
      </c>
      <c r="T16" s="215">
        <f t="shared" si="1"/>
        <v>0</v>
      </c>
      <c r="U16" s="217">
        <f>+U14+U15</f>
        <v>19</v>
      </c>
      <c r="V16" s="158"/>
      <c r="W16" s="150"/>
      <c r="X16" s="150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</row>
    <row r="17" spans="1:66" s="250" customFormat="1" ht="12">
      <c r="A17" s="244" t="s">
        <v>109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9"/>
      <c r="S17" s="163"/>
      <c r="T17" s="163"/>
      <c r="U17" s="172"/>
      <c r="V17" s="164"/>
      <c r="W17" s="150"/>
      <c r="X17" s="150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</row>
    <row r="18" spans="1:66" ht="13.5" customHeight="1">
      <c r="A18" s="245" t="s">
        <v>105</v>
      </c>
      <c r="B18" s="215">
        <f aca="true" t="shared" si="2" ref="B18:T20">+B43+B68</f>
        <v>849</v>
      </c>
      <c r="C18" s="215">
        <f t="shared" si="2"/>
        <v>106</v>
      </c>
      <c r="D18" s="215">
        <f t="shared" si="2"/>
        <v>310</v>
      </c>
      <c r="E18" s="215">
        <f t="shared" si="2"/>
        <v>394</v>
      </c>
      <c r="F18" s="215">
        <f t="shared" si="2"/>
        <v>4641</v>
      </c>
      <c r="G18" s="215">
        <f t="shared" si="2"/>
        <v>326</v>
      </c>
      <c r="H18" s="215">
        <f t="shared" si="2"/>
        <v>591</v>
      </c>
      <c r="I18" s="215">
        <f t="shared" si="2"/>
        <v>4540</v>
      </c>
      <c r="J18" s="215">
        <f t="shared" si="2"/>
        <v>5520</v>
      </c>
      <c r="K18" s="215">
        <f t="shared" si="2"/>
        <v>1888</v>
      </c>
      <c r="L18" s="215">
        <f t="shared" si="2"/>
        <v>2517</v>
      </c>
      <c r="M18" s="215">
        <f t="shared" si="2"/>
        <v>97</v>
      </c>
      <c r="N18" s="215">
        <f t="shared" si="2"/>
        <v>791</v>
      </c>
      <c r="O18" s="215">
        <f t="shared" si="2"/>
        <v>1774</v>
      </c>
      <c r="P18" s="215">
        <f t="shared" si="2"/>
        <v>2808</v>
      </c>
      <c r="Q18" s="215">
        <f t="shared" si="2"/>
        <v>1070</v>
      </c>
      <c r="R18" s="215">
        <f t="shared" si="2"/>
        <v>3438</v>
      </c>
      <c r="S18" s="215">
        <f t="shared" si="2"/>
        <v>325</v>
      </c>
      <c r="T18" s="215">
        <f t="shared" si="2"/>
        <v>516</v>
      </c>
      <c r="U18" s="172">
        <f>SUM(B18:T18)</f>
        <v>32501</v>
      </c>
      <c r="V18" s="167"/>
      <c r="W18" s="167"/>
      <c r="X18" s="167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6"/>
      <c r="BA18" s="246"/>
      <c r="BB18" s="246"/>
      <c r="BC18" s="246"/>
      <c r="BD18" s="246"/>
      <c r="BE18" s="246"/>
      <c r="BF18" s="246"/>
      <c r="BG18" s="246"/>
      <c r="BH18" s="246"/>
      <c r="BI18" s="246"/>
      <c r="BJ18" s="246"/>
      <c r="BK18" s="246"/>
      <c r="BL18" s="246"/>
      <c r="BM18" s="246"/>
      <c r="BN18" s="246"/>
    </row>
    <row r="19" spans="1:38" ht="12">
      <c r="A19" s="245" t="s">
        <v>115</v>
      </c>
      <c r="B19" s="215">
        <f t="shared" si="2"/>
        <v>391</v>
      </c>
      <c r="C19" s="215">
        <f>+C44+C69</f>
        <v>24</v>
      </c>
      <c r="D19" s="215">
        <f t="shared" si="2"/>
        <v>62</v>
      </c>
      <c r="E19" s="215">
        <f t="shared" si="2"/>
        <v>317</v>
      </c>
      <c r="F19" s="215">
        <f t="shared" si="2"/>
        <v>2440</v>
      </c>
      <c r="G19" s="215">
        <f t="shared" si="2"/>
        <v>82</v>
      </c>
      <c r="H19" s="215">
        <f t="shared" si="2"/>
        <v>672</v>
      </c>
      <c r="I19" s="215">
        <f t="shared" si="2"/>
        <v>2205</v>
      </c>
      <c r="J19" s="215">
        <f t="shared" si="2"/>
        <v>2905</v>
      </c>
      <c r="K19" s="215">
        <f t="shared" si="2"/>
        <v>782</v>
      </c>
      <c r="L19" s="215">
        <f t="shared" si="2"/>
        <v>437</v>
      </c>
      <c r="M19" s="215">
        <f t="shared" si="2"/>
        <v>53</v>
      </c>
      <c r="N19" s="215">
        <f t="shared" si="2"/>
        <v>232</v>
      </c>
      <c r="O19" s="215">
        <f t="shared" si="2"/>
        <v>1164</v>
      </c>
      <c r="P19" s="215">
        <f t="shared" si="2"/>
        <v>1310</v>
      </c>
      <c r="Q19" s="215">
        <f t="shared" si="2"/>
        <v>54</v>
      </c>
      <c r="R19" s="215">
        <f t="shared" si="2"/>
        <v>1556</v>
      </c>
      <c r="S19" s="215">
        <f t="shared" si="2"/>
        <v>118</v>
      </c>
      <c r="T19" s="215">
        <f t="shared" si="2"/>
        <v>41</v>
      </c>
      <c r="U19" s="172">
        <f>SUM(B19:T19)</f>
        <v>14845</v>
      </c>
      <c r="V19" s="167"/>
      <c r="W19" s="167"/>
      <c r="X19" s="167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</row>
    <row r="20" spans="1:66" ht="12">
      <c r="A20" s="245" t="s">
        <v>107</v>
      </c>
      <c r="B20" s="215">
        <f t="shared" si="2"/>
        <v>1240</v>
      </c>
      <c r="C20" s="215">
        <f t="shared" si="2"/>
        <v>130</v>
      </c>
      <c r="D20" s="215">
        <f t="shared" si="2"/>
        <v>372</v>
      </c>
      <c r="E20" s="215">
        <f t="shared" si="2"/>
        <v>711</v>
      </c>
      <c r="F20" s="215">
        <f t="shared" si="2"/>
        <v>7081</v>
      </c>
      <c r="G20" s="215">
        <f t="shared" si="2"/>
        <v>408</v>
      </c>
      <c r="H20" s="215">
        <f t="shared" si="2"/>
        <v>1263</v>
      </c>
      <c r="I20" s="215">
        <f t="shared" si="2"/>
        <v>6745</v>
      </c>
      <c r="J20" s="215">
        <f t="shared" si="2"/>
        <v>8425</v>
      </c>
      <c r="K20" s="215">
        <f t="shared" si="2"/>
        <v>2670</v>
      </c>
      <c r="L20" s="215">
        <f t="shared" si="2"/>
        <v>2954</v>
      </c>
      <c r="M20" s="215">
        <f t="shared" si="2"/>
        <v>150</v>
      </c>
      <c r="N20" s="215">
        <f t="shared" si="2"/>
        <v>1023</v>
      </c>
      <c r="O20" s="215">
        <f t="shared" si="2"/>
        <v>2938</v>
      </c>
      <c r="P20" s="215">
        <f t="shared" si="2"/>
        <v>4118</v>
      </c>
      <c r="Q20" s="215">
        <f t="shared" si="2"/>
        <v>1124</v>
      </c>
      <c r="R20" s="215">
        <f t="shared" si="2"/>
        <v>4994</v>
      </c>
      <c r="S20" s="215">
        <f t="shared" si="2"/>
        <v>443</v>
      </c>
      <c r="T20" s="215">
        <f t="shared" si="2"/>
        <v>557</v>
      </c>
      <c r="U20" s="217">
        <f>+U18+U19</f>
        <v>47346</v>
      </c>
      <c r="V20" s="158"/>
      <c r="W20" s="150"/>
      <c r="X20" s="150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6"/>
    </row>
    <row r="21" spans="1:38" ht="24">
      <c r="A21" s="244" t="s">
        <v>117</v>
      </c>
      <c r="B21" s="169"/>
      <c r="C21" s="170"/>
      <c r="D21" s="170"/>
      <c r="E21" s="170"/>
      <c r="F21" s="169"/>
      <c r="G21" s="169"/>
      <c r="H21" s="171"/>
      <c r="I21" s="169"/>
      <c r="J21" s="172"/>
      <c r="K21" s="170"/>
      <c r="L21" s="172"/>
      <c r="M21" s="172"/>
      <c r="N21" s="170"/>
      <c r="O21" s="169"/>
      <c r="P21" s="172"/>
      <c r="Q21" s="170"/>
      <c r="R21" s="169"/>
      <c r="S21" s="169"/>
      <c r="T21" s="169"/>
      <c r="U21" s="172"/>
      <c r="V21" s="171"/>
      <c r="W21" s="171"/>
      <c r="X21" s="171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</row>
    <row r="22" spans="1:38" ht="12">
      <c r="A22" s="245" t="s">
        <v>105</v>
      </c>
      <c r="B22" s="215">
        <f aca="true" t="shared" si="3" ref="B22:T24">+B47+B72</f>
        <v>173</v>
      </c>
      <c r="C22" s="215">
        <f t="shared" si="3"/>
        <v>0</v>
      </c>
      <c r="D22" s="215">
        <f t="shared" si="3"/>
        <v>136</v>
      </c>
      <c r="E22" s="215">
        <f t="shared" si="3"/>
        <v>260</v>
      </c>
      <c r="F22" s="215">
        <f t="shared" si="3"/>
        <v>1298</v>
      </c>
      <c r="G22" s="215">
        <f t="shared" si="3"/>
        <v>38</v>
      </c>
      <c r="H22" s="215">
        <f t="shared" si="3"/>
        <v>138</v>
      </c>
      <c r="I22" s="215">
        <f t="shared" si="3"/>
        <v>1931</v>
      </c>
      <c r="J22" s="215">
        <f t="shared" si="3"/>
        <v>2384</v>
      </c>
      <c r="K22" s="215">
        <f t="shared" si="3"/>
        <v>372</v>
      </c>
      <c r="L22" s="215">
        <f t="shared" si="3"/>
        <v>79</v>
      </c>
      <c r="M22" s="215">
        <f t="shared" si="3"/>
        <v>92</v>
      </c>
      <c r="N22" s="215">
        <f t="shared" si="3"/>
        <v>603</v>
      </c>
      <c r="O22" s="215">
        <f t="shared" si="3"/>
        <v>563</v>
      </c>
      <c r="P22" s="215">
        <f t="shared" si="3"/>
        <v>1090</v>
      </c>
      <c r="Q22" s="215">
        <f t="shared" si="3"/>
        <v>183</v>
      </c>
      <c r="R22" s="215">
        <f t="shared" si="3"/>
        <v>1004</v>
      </c>
      <c r="S22" s="215">
        <f t="shared" si="3"/>
        <v>326</v>
      </c>
      <c r="T22" s="215">
        <f t="shared" si="3"/>
        <v>198</v>
      </c>
      <c r="U22" s="172">
        <f>SUM(B22:T22)</f>
        <v>10868</v>
      </c>
      <c r="V22" s="150"/>
      <c r="W22" s="150"/>
      <c r="X22" s="150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</row>
    <row r="23" spans="1:38" ht="12">
      <c r="A23" s="245" t="s">
        <v>115</v>
      </c>
      <c r="B23" s="215">
        <f t="shared" si="3"/>
        <v>43</v>
      </c>
      <c r="C23" s="215">
        <f t="shared" si="3"/>
        <v>0</v>
      </c>
      <c r="D23" s="215">
        <f t="shared" si="3"/>
        <v>5</v>
      </c>
      <c r="E23" s="215">
        <f t="shared" si="3"/>
        <v>54</v>
      </c>
      <c r="F23" s="215">
        <f t="shared" si="3"/>
        <v>318</v>
      </c>
      <c r="G23" s="215">
        <f t="shared" si="3"/>
        <v>4</v>
      </c>
      <c r="H23" s="215">
        <f t="shared" si="3"/>
        <v>208</v>
      </c>
      <c r="I23" s="215">
        <f t="shared" si="3"/>
        <v>897</v>
      </c>
      <c r="J23" s="215">
        <f t="shared" si="3"/>
        <v>921</v>
      </c>
      <c r="K23" s="215">
        <f t="shared" si="3"/>
        <v>107</v>
      </c>
      <c r="L23" s="215">
        <f t="shared" si="3"/>
        <v>6</v>
      </c>
      <c r="M23" s="215">
        <f t="shared" si="3"/>
        <v>22</v>
      </c>
      <c r="N23" s="215">
        <f t="shared" si="3"/>
        <v>121</v>
      </c>
      <c r="O23" s="215">
        <f t="shared" si="3"/>
        <v>228</v>
      </c>
      <c r="P23" s="215">
        <f t="shared" si="3"/>
        <v>297</v>
      </c>
      <c r="Q23" s="215">
        <f t="shared" si="3"/>
        <v>8</v>
      </c>
      <c r="R23" s="215">
        <f t="shared" si="3"/>
        <v>392</v>
      </c>
      <c r="S23" s="215">
        <f t="shared" si="3"/>
        <v>45</v>
      </c>
      <c r="T23" s="215">
        <f t="shared" si="3"/>
        <v>22</v>
      </c>
      <c r="U23" s="172">
        <f>SUM(B23:T23)</f>
        <v>3698</v>
      </c>
      <c r="V23" s="164"/>
      <c r="W23" s="164"/>
      <c r="X23" s="164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</row>
    <row r="24" spans="1:66" ht="12">
      <c r="A24" s="245" t="s">
        <v>107</v>
      </c>
      <c r="B24" s="215">
        <f t="shared" si="3"/>
        <v>216</v>
      </c>
      <c r="C24" s="215">
        <f t="shared" si="3"/>
        <v>0</v>
      </c>
      <c r="D24" s="215">
        <f t="shared" si="3"/>
        <v>141</v>
      </c>
      <c r="E24" s="215">
        <f t="shared" si="3"/>
        <v>314</v>
      </c>
      <c r="F24" s="215">
        <f t="shared" si="3"/>
        <v>1616</v>
      </c>
      <c r="G24" s="215">
        <f t="shared" si="3"/>
        <v>42</v>
      </c>
      <c r="H24" s="215">
        <f t="shared" si="3"/>
        <v>346</v>
      </c>
      <c r="I24" s="215">
        <f t="shared" si="3"/>
        <v>2828</v>
      </c>
      <c r="J24" s="215">
        <f t="shared" si="3"/>
        <v>3305</v>
      </c>
      <c r="K24" s="215">
        <f t="shared" si="3"/>
        <v>479</v>
      </c>
      <c r="L24" s="215">
        <f t="shared" si="3"/>
        <v>85</v>
      </c>
      <c r="M24" s="215">
        <f t="shared" si="3"/>
        <v>114</v>
      </c>
      <c r="N24" s="215">
        <f t="shared" si="3"/>
        <v>724</v>
      </c>
      <c r="O24" s="215">
        <f t="shared" si="3"/>
        <v>791</v>
      </c>
      <c r="P24" s="215">
        <f t="shared" si="3"/>
        <v>1387</v>
      </c>
      <c r="Q24" s="215">
        <f t="shared" si="3"/>
        <v>191</v>
      </c>
      <c r="R24" s="215">
        <f t="shared" si="3"/>
        <v>1396</v>
      </c>
      <c r="S24" s="215">
        <f t="shared" si="3"/>
        <v>371</v>
      </c>
      <c r="T24" s="215">
        <f t="shared" si="3"/>
        <v>220</v>
      </c>
      <c r="U24" s="217">
        <f>+U22+U23</f>
        <v>14566</v>
      </c>
      <c r="V24" s="158"/>
      <c r="W24" s="150"/>
      <c r="X24" s="150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  <c r="BG24" s="246"/>
      <c r="BH24" s="246"/>
      <c r="BI24" s="246"/>
      <c r="BJ24" s="246"/>
      <c r="BK24" s="246"/>
      <c r="BL24" s="246"/>
      <c r="BM24" s="246"/>
      <c r="BN24" s="246"/>
    </row>
    <row r="25" spans="1:38" ht="12">
      <c r="A25" s="244" t="s">
        <v>111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72"/>
      <c r="V25" s="163"/>
      <c r="W25" s="163"/>
      <c r="X25" s="163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</row>
    <row r="26" spans="1:38" ht="12">
      <c r="A26" s="245" t="s">
        <v>105</v>
      </c>
      <c r="B26" s="215">
        <f>B51+B76</f>
        <v>0</v>
      </c>
      <c r="C26" s="215">
        <f aca="true" t="shared" si="4" ref="C26:U27">C51+C76</f>
        <v>580</v>
      </c>
      <c r="D26" s="215">
        <f t="shared" si="4"/>
        <v>0</v>
      </c>
      <c r="E26" s="215">
        <f t="shared" si="4"/>
        <v>0</v>
      </c>
      <c r="F26" s="215">
        <f t="shared" si="4"/>
        <v>0</v>
      </c>
      <c r="G26" s="215">
        <f t="shared" si="4"/>
        <v>2612</v>
      </c>
      <c r="H26" s="215">
        <f t="shared" si="4"/>
        <v>4738</v>
      </c>
      <c r="I26" s="215">
        <f t="shared" si="4"/>
        <v>743</v>
      </c>
      <c r="J26" s="215">
        <f t="shared" si="4"/>
        <v>0</v>
      </c>
      <c r="K26" s="215">
        <f t="shared" si="4"/>
        <v>0</v>
      </c>
      <c r="L26" s="215">
        <f t="shared" si="4"/>
        <v>2506</v>
      </c>
      <c r="M26" s="215">
        <f t="shared" si="4"/>
        <v>801</v>
      </c>
      <c r="N26" s="215">
        <f t="shared" si="4"/>
        <v>0</v>
      </c>
      <c r="O26" s="215">
        <f t="shared" si="4"/>
        <v>0</v>
      </c>
      <c r="P26" s="215">
        <f t="shared" si="4"/>
        <v>0</v>
      </c>
      <c r="Q26" s="215">
        <f t="shared" si="4"/>
        <v>0</v>
      </c>
      <c r="R26" s="215">
        <f t="shared" si="4"/>
        <v>0</v>
      </c>
      <c r="S26" s="215">
        <f t="shared" si="4"/>
        <v>0</v>
      </c>
      <c r="T26" s="215">
        <f t="shared" si="4"/>
        <v>0</v>
      </c>
      <c r="U26" s="215">
        <f t="shared" si="4"/>
        <v>11980</v>
      </c>
      <c r="V26" s="177"/>
      <c r="W26" s="177"/>
      <c r="X26" s="177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</row>
    <row r="27" spans="1:38" ht="12">
      <c r="A27" s="245" t="s">
        <v>115</v>
      </c>
      <c r="B27" s="215">
        <f>B52+B77</f>
        <v>0</v>
      </c>
      <c r="C27" s="215">
        <f t="shared" si="4"/>
        <v>42</v>
      </c>
      <c r="D27" s="215">
        <f t="shared" si="4"/>
        <v>0</v>
      </c>
      <c r="E27" s="215">
        <f t="shared" si="4"/>
        <v>0</v>
      </c>
      <c r="F27" s="215">
        <f t="shared" si="4"/>
        <v>0</v>
      </c>
      <c r="G27" s="215">
        <f t="shared" si="4"/>
        <v>317</v>
      </c>
      <c r="H27" s="215">
        <f t="shared" si="4"/>
        <v>1051</v>
      </c>
      <c r="I27" s="215">
        <f t="shared" si="4"/>
        <v>500</v>
      </c>
      <c r="J27" s="215">
        <f t="shared" si="4"/>
        <v>0</v>
      </c>
      <c r="K27" s="215">
        <f t="shared" si="4"/>
        <v>0</v>
      </c>
      <c r="L27" s="215">
        <f t="shared" si="4"/>
        <v>350</v>
      </c>
      <c r="M27" s="215">
        <f t="shared" si="4"/>
        <v>326</v>
      </c>
      <c r="N27" s="215">
        <f t="shared" si="4"/>
        <v>0</v>
      </c>
      <c r="O27" s="215">
        <f t="shared" si="4"/>
        <v>0</v>
      </c>
      <c r="P27" s="215">
        <f t="shared" si="4"/>
        <v>0</v>
      </c>
      <c r="Q27" s="215">
        <f t="shared" si="4"/>
        <v>0</v>
      </c>
      <c r="R27" s="215">
        <f t="shared" si="4"/>
        <v>0</v>
      </c>
      <c r="S27" s="215">
        <f t="shared" si="4"/>
        <v>0</v>
      </c>
      <c r="T27" s="215">
        <f t="shared" si="4"/>
        <v>0</v>
      </c>
      <c r="U27" s="215">
        <f t="shared" si="4"/>
        <v>2586</v>
      </c>
      <c r="V27" s="150"/>
      <c r="W27" s="150"/>
      <c r="X27" s="150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</row>
    <row r="28" spans="1:66" ht="12">
      <c r="A28" s="245" t="s">
        <v>107</v>
      </c>
      <c r="B28" s="215">
        <f>B26+B27</f>
        <v>0</v>
      </c>
      <c r="C28" s="215">
        <f aca="true" t="shared" si="5" ref="C28:T28">C26+C27</f>
        <v>622</v>
      </c>
      <c r="D28" s="215">
        <f t="shared" si="5"/>
        <v>0</v>
      </c>
      <c r="E28" s="215">
        <f t="shared" si="5"/>
        <v>0</v>
      </c>
      <c r="F28" s="215">
        <f t="shared" si="5"/>
        <v>0</v>
      </c>
      <c r="G28" s="215">
        <f t="shared" si="5"/>
        <v>2929</v>
      </c>
      <c r="H28" s="215">
        <f t="shared" si="5"/>
        <v>5789</v>
      </c>
      <c r="I28" s="215">
        <f t="shared" si="5"/>
        <v>1243</v>
      </c>
      <c r="J28" s="215">
        <f t="shared" si="5"/>
        <v>0</v>
      </c>
      <c r="K28" s="215">
        <f t="shared" si="5"/>
        <v>0</v>
      </c>
      <c r="L28" s="215">
        <f t="shared" si="5"/>
        <v>2856</v>
      </c>
      <c r="M28" s="215">
        <f t="shared" si="5"/>
        <v>1127</v>
      </c>
      <c r="N28" s="215">
        <f t="shared" si="5"/>
        <v>0</v>
      </c>
      <c r="O28" s="215">
        <f t="shared" si="5"/>
        <v>0</v>
      </c>
      <c r="P28" s="215">
        <f t="shared" si="5"/>
        <v>0</v>
      </c>
      <c r="Q28" s="215">
        <f t="shared" si="5"/>
        <v>0</v>
      </c>
      <c r="R28" s="215">
        <f t="shared" si="5"/>
        <v>0</v>
      </c>
      <c r="S28" s="215">
        <f t="shared" si="5"/>
        <v>0</v>
      </c>
      <c r="T28" s="215">
        <f t="shared" si="5"/>
        <v>0</v>
      </c>
      <c r="U28" s="217">
        <f>+U26+U27</f>
        <v>14566</v>
      </c>
      <c r="V28" s="158"/>
      <c r="W28" s="150"/>
      <c r="X28" s="150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  <c r="BG28" s="246"/>
      <c r="BH28" s="246"/>
      <c r="BI28" s="246"/>
      <c r="BJ28" s="246"/>
      <c r="BK28" s="246"/>
      <c r="BL28" s="246"/>
      <c r="BM28" s="246"/>
      <c r="BN28" s="246"/>
    </row>
    <row r="29" spans="1:38" ht="12">
      <c r="A29" s="244" t="s">
        <v>112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51"/>
      <c r="V29" s="150"/>
      <c r="W29" s="150"/>
      <c r="X29" s="150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</row>
    <row r="30" spans="1:24" ht="12">
      <c r="A30" s="245" t="s">
        <v>105</v>
      </c>
      <c r="B30" s="223">
        <f>+B26+B22+B18+B14+B10</f>
        <v>1022</v>
      </c>
      <c r="C30" s="223">
        <f aca="true" t="shared" si="6" ref="C30:T31">+C26+C22+C18+C14+C10</f>
        <v>686</v>
      </c>
      <c r="D30" s="223">
        <f t="shared" si="6"/>
        <v>446</v>
      </c>
      <c r="E30" s="223">
        <f t="shared" si="6"/>
        <v>654</v>
      </c>
      <c r="F30" s="223">
        <f t="shared" si="6"/>
        <v>5939</v>
      </c>
      <c r="G30" s="223">
        <f t="shared" si="6"/>
        <v>2993</v>
      </c>
      <c r="H30" s="223">
        <f t="shared" si="6"/>
        <v>5467</v>
      </c>
      <c r="I30" s="223">
        <f t="shared" si="6"/>
        <v>7214</v>
      </c>
      <c r="J30" s="223">
        <f t="shared" si="6"/>
        <v>7904</v>
      </c>
      <c r="K30" s="223">
        <f t="shared" si="6"/>
        <v>2260</v>
      </c>
      <c r="L30" s="223">
        <f t="shared" si="6"/>
        <v>5104</v>
      </c>
      <c r="M30" s="223">
        <f t="shared" si="6"/>
        <v>990</v>
      </c>
      <c r="N30" s="223">
        <f t="shared" si="6"/>
        <v>1394</v>
      </c>
      <c r="O30" s="223">
        <f t="shared" si="6"/>
        <v>3197</v>
      </c>
      <c r="P30" s="223">
        <f t="shared" si="6"/>
        <v>3899</v>
      </c>
      <c r="Q30" s="223">
        <f t="shared" si="6"/>
        <v>1255</v>
      </c>
      <c r="R30" s="223">
        <f t="shared" si="6"/>
        <v>4442</v>
      </c>
      <c r="S30" s="223">
        <f t="shared" si="6"/>
        <v>651</v>
      </c>
      <c r="T30" s="223">
        <f t="shared" si="6"/>
        <v>714</v>
      </c>
      <c r="U30" s="223">
        <f>+U26+U22+U18+U14+U10</f>
        <v>56231</v>
      </c>
      <c r="V30" s="181"/>
      <c r="W30" s="181"/>
      <c r="X30" s="181"/>
    </row>
    <row r="31" spans="1:24" ht="12">
      <c r="A31" s="245" t="s">
        <v>115</v>
      </c>
      <c r="B31" s="223">
        <f>+B27+B23+B19+B15+B11</f>
        <v>506</v>
      </c>
      <c r="C31" s="223">
        <f t="shared" si="6"/>
        <v>66</v>
      </c>
      <c r="D31" s="223">
        <f t="shared" si="6"/>
        <v>79</v>
      </c>
      <c r="E31" s="223">
        <f t="shared" si="6"/>
        <v>511</v>
      </c>
      <c r="F31" s="223">
        <f t="shared" si="6"/>
        <v>3059</v>
      </c>
      <c r="G31" s="223">
        <f t="shared" si="6"/>
        <v>548</v>
      </c>
      <c r="H31" s="223">
        <f t="shared" si="6"/>
        <v>3003</v>
      </c>
      <c r="I31" s="223">
        <f t="shared" si="6"/>
        <v>4227</v>
      </c>
      <c r="J31" s="223">
        <f t="shared" si="6"/>
        <v>4929</v>
      </c>
      <c r="K31" s="223">
        <f t="shared" si="6"/>
        <v>1061</v>
      </c>
      <c r="L31" s="223">
        <f t="shared" si="6"/>
        <v>920</v>
      </c>
      <c r="M31" s="223">
        <f t="shared" si="6"/>
        <v>455</v>
      </c>
      <c r="N31" s="223">
        <f t="shared" si="6"/>
        <v>450</v>
      </c>
      <c r="O31" s="223">
        <f t="shared" si="6"/>
        <v>2095</v>
      </c>
      <c r="P31" s="223">
        <f t="shared" si="6"/>
        <v>1881</v>
      </c>
      <c r="Q31" s="223">
        <f t="shared" si="6"/>
        <v>148</v>
      </c>
      <c r="R31" s="223">
        <f t="shared" si="6"/>
        <v>2424</v>
      </c>
      <c r="S31" s="223">
        <f t="shared" si="6"/>
        <v>187</v>
      </c>
      <c r="T31" s="223">
        <f t="shared" si="6"/>
        <v>70</v>
      </c>
      <c r="U31" s="223">
        <f>+U27+U23+U19+U15+U11</f>
        <v>26619</v>
      </c>
      <c r="V31" s="181"/>
      <c r="W31" s="181"/>
      <c r="X31" s="181"/>
    </row>
    <row r="32" spans="1:66" ht="12">
      <c r="A32" s="245" t="s">
        <v>107</v>
      </c>
      <c r="B32" s="217">
        <f aca="true" t="shared" si="7" ref="B32:U32">+B30+B31</f>
        <v>1528</v>
      </c>
      <c r="C32" s="217">
        <f t="shared" si="7"/>
        <v>752</v>
      </c>
      <c r="D32" s="217">
        <f t="shared" si="7"/>
        <v>525</v>
      </c>
      <c r="E32" s="217">
        <f t="shared" si="7"/>
        <v>1165</v>
      </c>
      <c r="F32" s="217">
        <f t="shared" si="7"/>
        <v>8998</v>
      </c>
      <c r="G32" s="217">
        <f t="shared" si="7"/>
        <v>3541</v>
      </c>
      <c r="H32" s="217">
        <f t="shared" si="7"/>
        <v>8470</v>
      </c>
      <c r="I32" s="217">
        <f t="shared" si="7"/>
        <v>11441</v>
      </c>
      <c r="J32" s="217">
        <f t="shared" si="7"/>
        <v>12833</v>
      </c>
      <c r="K32" s="217">
        <f t="shared" si="7"/>
        <v>3321</v>
      </c>
      <c r="L32" s="217">
        <f t="shared" si="7"/>
        <v>6024</v>
      </c>
      <c r="M32" s="217">
        <f t="shared" si="7"/>
        <v>1445</v>
      </c>
      <c r="N32" s="217">
        <f t="shared" si="7"/>
        <v>1844</v>
      </c>
      <c r="O32" s="217">
        <f t="shared" si="7"/>
        <v>5292</v>
      </c>
      <c r="P32" s="217">
        <f t="shared" si="7"/>
        <v>5780</v>
      </c>
      <c r="Q32" s="217">
        <f t="shared" si="7"/>
        <v>1403</v>
      </c>
      <c r="R32" s="217">
        <f t="shared" si="7"/>
        <v>6866</v>
      </c>
      <c r="S32" s="217">
        <f t="shared" si="7"/>
        <v>838</v>
      </c>
      <c r="T32" s="217">
        <f t="shared" si="7"/>
        <v>784</v>
      </c>
      <c r="U32" s="217">
        <f t="shared" si="7"/>
        <v>82850</v>
      </c>
      <c r="V32" s="158"/>
      <c r="W32" s="150"/>
      <c r="X32" s="150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</row>
    <row r="33" spans="2:21" s="135" customFormat="1" ht="12">
      <c r="B33" s="218"/>
      <c r="C33" s="218"/>
      <c r="E33" s="218"/>
      <c r="F33" s="218"/>
      <c r="G33" s="218"/>
      <c r="H33" s="218"/>
      <c r="I33" s="218"/>
      <c r="J33" s="218"/>
      <c r="K33" s="218" t="s">
        <v>114</v>
      </c>
      <c r="L33" s="218"/>
      <c r="M33" s="218"/>
      <c r="N33" s="218"/>
      <c r="O33" s="218"/>
      <c r="P33" s="252"/>
      <c r="Q33" s="218"/>
      <c r="R33" s="218"/>
      <c r="S33" s="218"/>
      <c r="T33" s="218"/>
      <c r="U33" s="218"/>
    </row>
    <row r="34" spans="1:66" s="120" customFormat="1" ht="12">
      <c r="A34" s="244" t="s">
        <v>104</v>
      </c>
      <c r="B34" s="215"/>
      <c r="C34" s="215"/>
      <c r="D34" s="169"/>
      <c r="E34" s="169"/>
      <c r="F34" s="169"/>
      <c r="G34" s="169"/>
      <c r="H34" s="215"/>
      <c r="I34" s="169"/>
      <c r="J34" s="169"/>
      <c r="K34" s="215"/>
      <c r="L34" s="169"/>
      <c r="M34" s="169"/>
      <c r="N34" s="169"/>
      <c r="O34" s="169"/>
      <c r="P34" s="169"/>
      <c r="Q34" s="169"/>
      <c r="R34" s="215"/>
      <c r="S34" s="215"/>
      <c r="T34" s="215"/>
      <c r="U34" s="172"/>
      <c r="V34" s="150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</row>
    <row r="35" spans="1:66" ht="12">
      <c r="A35" s="245" t="s">
        <v>105</v>
      </c>
      <c r="B35" s="215"/>
      <c r="C35" s="219"/>
      <c r="D35" s="219"/>
      <c r="E35" s="219"/>
      <c r="F35" s="169"/>
      <c r="G35" s="253">
        <v>6</v>
      </c>
      <c r="H35" s="253"/>
      <c r="I35" s="169"/>
      <c r="J35" s="253"/>
      <c r="K35" s="253"/>
      <c r="L35" s="253"/>
      <c r="M35" s="253"/>
      <c r="N35" s="169"/>
      <c r="O35" s="169">
        <v>70</v>
      </c>
      <c r="P35" s="253"/>
      <c r="Q35" s="253">
        <v>1</v>
      </c>
      <c r="R35" s="215"/>
      <c r="S35" s="215"/>
      <c r="T35" s="253"/>
      <c r="U35" s="172">
        <f>SUM(B35:T35)</f>
        <v>77</v>
      </c>
      <c r="V35" s="150"/>
      <c r="W35" s="150"/>
      <c r="X35" s="150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/>
      <c r="BL35" s="246"/>
      <c r="BM35" s="246"/>
      <c r="BN35" s="246"/>
    </row>
    <row r="36" spans="1:66" ht="12">
      <c r="A36" s="245" t="s">
        <v>115</v>
      </c>
      <c r="B36" s="215">
        <v>51</v>
      </c>
      <c r="C36" s="219"/>
      <c r="D36" s="219">
        <v>10</v>
      </c>
      <c r="E36" s="219">
        <v>38</v>
      </c>
      <c r="F36" s="169">
        <v>154</v>
      </c>
      <c r="G36" s="253">
        <v>39</v>
      </c>
      <c r="H36" s="169">
        <v>449</v>
      </c>
      <c r="I36" s="169">
        <v>511</v>
      </c>
      <c r="J36" s="169">
        <v>449</v>
      </c>
      <c r="K36" s="253">
        <v>19</v>
      </c>
      <c r="L36" s="253">
        <v>74</v>
      </c>
      <c r="M36" s="253">
        <v>18</v>
      </c>
      <c r="N36" s="169">
        <v>22</v>
      </c>
      <c r="O36" s="253">
        <v>52</v>
      </c>
      <c r="P36" s="169">
        <v>151</v>
      </c>
      <c r="Q36" s="253">
        <v>36</v>
      </c>
      <c r="R36" s="215">
        <v>207</v>
      </c>
      <c r="S36" s="215">
        <v>11</v>
      </c>
      <c r="T36" s="253">
        <v>1</v>
      </c>
      <c r="U36" s="172">
        <f>SUM(B36:T36)</f>
        <v>2292</v>
      </c>
      <c r="V36" s="150"/>
      <c r="W36" s="150"/>
      <c r="X36" s="150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/>
      <c r="BK36" s="246"/>
      <c r="BL36" s="246"/>
      <c r="BM36" s="246"/>
      <c r="BN36" s="246"/>
    </row>
    <row r="37" spans="1:66" ht="12">
      <c r="A37" s="245" t="s">
        <v>107</v>
      </c>
      <c r="B37" s="217">
        <f aca="true" t="shared" si="8" ref="B37:U37">+B35+B36</f>
        <v>51</v>
      </c>
      <c r="C37" s="217">
        <f t="shared" si="8"/>
        <v>0</v>
      </c>
      <c r="D37" s="217">
        <f t="shared" si="8"/>
        <v>10</v>
      </c>
      <c r="E37" s="217">
        <f t="shared" si="8"/>
        <v>38</v>
      </c>
      <c r="F37" s="217">
        <f t="shared" si="8"/>
        <v>154</v>
      </c>
      <c r="G37" s="217">
        <f t="shared" si="8"/>
        <v>45</v>
      </c>
      <c r="H37" s="217">
        <f t="shared" si="8"/>
        <v>449</v>
      </c>
      <c r="I37" s="217">
        <f t="shared" si="8"/>
        <v>511</v>
      </c>
      <c r="J37" s="217">
        <f t="shared" si="8"/>
        <v>449</v>
      </c>
      <c r="K37" s="217">
        <f t="shared" si="8"/>
        <v>19</v>
      </c>
      <c r="L37" s="217">
        <f t="shared" si="8"/>
        <v>74</v>
      </c>
      <c r="M37" s="217">
        <f t="shared" si="8"/>
        <v>18</v>
      </c>
      <c r="N37" s="217">
        <f t="shared" si="8"/>
        <v>22</v>
      </c>
      <c r="O37" s="217">
        <f t="shared" si="8"/>
        <v>122</v>
      </c>
      <c r="P37" s="217">
        <f t="shared" si="8"/>
        <v>151</v>
      </c>
      <c r="Q37" s="217">
        <f t="shared" si="8"/>
        <v>37</v>
      </c>
      <c r="R37" s="217">
        <f t="shared" si="8"/>
        <v>207</v>
      </c>
      <c r="S37" s="217">
        <f t="shared" si="8"/>
        <v>11</v>
      </c>
      <c r="T37" s="217">
        <f t="shared" si="8"/>
        <v>1</v>
      </c>
      <c r="U37" s="217">
        <f t="shared" si="8"/>
        <v>2369</v>
      </c>
      <c r="V37" s="158"/>
      <c r="W37" s="150"/>
      <c r="X37" s="150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  <c r="BC37" s="246"/>
      <c r="BD37" s="246"/>
      <c r="BE37" s="246"/>
      <c r="BF37" s="246"/>
      <c r="BG37" s="246"/>
      <c r="BH37" s="246"/>
      <c r="BI37" s="246"/>
      <c r="BJ37" s="246"/>
      <c r="BK37" s="246"/>
      <c r="BL37" s="246"/>
      <c r="BM37" s="246"/>
      <c r="BN37" s="246"/>
    </row>
    <row r="38" spans="1:66" ht="12">
      <c r="A38" s="244" t="s">
        <v>108</v>
      </c>
      <c r="B38" s="215"/>
      <c r="C38" s="169"/>
      <c r="D38" s="169"/>
      <c r="E38" s="169"/>
      <c r="F38" s="169"/>
      <c r="G38" s="169"/>
      <c r="H38" s="215"/>
      <c r="I38" s="169"/>
      <c r="J38" s="169"/>
      <c r="K38" s="215"/>
      <c r="L38" s="169"/>
      <c r="M38" s="169"/>
      <c r="N38" s="169"/>
      <c r="O38" s="169"/>
      <c r="P38" s="169"/>
      <c r="Q38" s="169"/>
      <c r="R38" s="215"/>
      <c r="S38" s="215"/>
      <c r="T38" s="215"/>
      <c r="U38" s="172"/>
      <c r="V38" s="158"/>
      <c r="W38" s="150"/>
      <c r="X38" s="150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246"/>
      <c r="BA38" s="246"/>
      <c r="BB38" s="246"/>
      <c r="BC38" s="246"/>
      <c r="BD38" s="246"/>
      <c r="BE38" s="246"/>
      <c r="BF38" s="246"/>
      <c r="BG38" s="246"/>
      <c r="BH38" s="246"/>
      <c r="BI38" s="246"/>
      <c r="BJ38" s="246"/>
      <c r="BK38" s="246"/>
      <c r="BL38" s="246"/>
      <c r="BM38" s="246"/>
      <c r="BN38" s="246"/>
    </row>
    <row r="39" spans="1:66" ht="12">
      <c r="A39" s="245" t="s">
        <v>105</v>
      </c>
      <c r="B39" s="215"/>
      <c r="C39" s="219"/>
      <c r="D39" s="219"/>
      <c r="E39" s="219"/>
      <c r="F39" s="169"/>
      <c r="G39" s="253"/>
      <c r="H39" s="253"/>
      <c r="I39" s="169"/>
      <c r="J39" s="253"/>
      <c r="K39" s="253"/>
      <c r="L39" s="253"/>
      <c r="M39" s="253"/>
      <c r="N39" s="169"/>
      <c r="O39" s="169"/>
      <c r="P39" s="253"/>
      <c r="Q39" s="253"/>
      <c r="R39" s="215"/>
      <c r="S39" s="215"/>
      <c r="T39" s="253"/>
      <c r="U39" s="172">
        <f>SUM(B39:T39)</f>
        <v>0</v>
      </c>
      <c r="V39" s="158"/>
      <c r="W39" s="150"/>
      <c r="X39" s="150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  <c r="BA39" s="246"/>
      <c r="BB39" s="246"/>
      <c r="BC39" s="246"/>
      <c r="BD39" s="246"/>
      <c r="BE39" s="246"/>
      <c r="BF39" s="246"/>
      <c r="BG39" s="246"/>
      <c r="BH39" s="246"/>
      <c r="BI39" s="246"/>
      <c r="BJ39" s="246"/>
      <c r="BK39" s="246"/>
      <c r="BL39" s="246"/>
      <c r="BM39" s="246"/>
      <c r="BN39" s="246"/>
    </row>
    <row r="40" spans="1:66" s="248" customFormat="1" ht="12">
      <c r="A40" s="245" t="s">
        <v>115</v>
      </c>
      <c r="B40" s="215">
        <v>1</v>
      </c>
      <c r="C40" s="219"/>
      <c r="D40" s="219"/>
      <c r="E40" s="219">
        <v>0</v>
      </c>
      <c r="F40" s="169">
        <v>3</v>
      </c>
      <c r="G40" s="253"/>
      <c r="H40" s="169">
        <v>1</v>
      </c>
      <c r="I40" s="169">
        <v>3</v>
      </c>
      <c r="J40" s="169"/>
      <c r="K40" s="253"/>
      <c r="L40" s="253">
        <v>1</v>
      </c>
      <c r="M40" s="253">
        <v>0</v>
      </c>
      <c r="N40" s="169"/>
      <c r="O40" s="253">
        <v>0</v>
      </c>
      <c r="P40" s="169"/>
      <c r="Q40" s="253"/>
      <c r="R40" s="215">
        <v>1</v>
      </c>
      <c r="S40" s="215">
        <v>1</v>
      </c>
      <c r="T40" s="253"/>
      <c r="U40" s="172">
        <f>SUM(B40:T40)</f>
        <v>11</v>
      </c>
      <c r="V40" s="164"/>
      <c r="W40" s="150"/>
      <c r="X40" s="150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7"/>
      <c r="AS40" s="247"/>
      <c r="AT40" s="247"/>
      <c r="AU40" s="247"/>
      <c r="AV40" s="247"/>
      <c r="AW40" s="247"/>
      <c r="AX40" s="247"/>
      <c r="AY40" s="247"/>
      <c r="AZ40" s="247"/>
      <c r="BA40" s="247"/>
      <c r="BB40" s="247"/>
      <c r="BC40" s="247"/>
      <c r="BD40" s="247"/>
      <c r="BE40" s="247"/>
      <c r="BF40" s="247"/>
      <c r="BG40" s="247"/>
      <c r="BH40" s="247"/>
      <c r="BI40" s="247"/>
      <c r="BJ40" s="247"/>
      <c r="BK40" s="247"/>
      <c r="BL40" s="247"/>
      <c r="BM40" s="247"/>
      <c r="BN40" s="247"/>
    </row>
    <row r="41" spans="1:66" ht="12">
      <c r="A41" s="245" t="s">
        <v>107</v>
      </c>
      <c r="B41" s="217">
        <f aca="true" t="shared" si="9" ref="B41:U41">+B39+B40</f>
        <v>1</v>
      </c>
      <c r="C41" s="217">
        <f t="shared" si="9"/>
        <v>0</v>
      </c>
      <c r="D41" s="217">
        <f t="shared" si="9"/>
        <v>0</v>
      </c>
      <c r="E41" s="217">
        <f t="shared" si="9"/>
        <v>0</v>
      </c>
      <c r="F41" s="217">
        <f t="shared" si="9"/>
        <v>3</v>
      </c>
      <c r="G41" s="217">
        <f t="shared" si="9"/>
        <v>0</v>
      </c>
      <c r="H41" s="217">
        <f t="shared" si="9"/>
        <v>1</v>
      </c>
      <c r="I41" s="217">
        <f t="shared" si="9"/>
        <v>3</v>
      </c>
      <c r="J41" s="217">
        <f t="shared" si="9"/>
        <v>0</v>
      </c>
      <c r="K41" s="217">
        <f t="shared" si="9"/>
        <v>0</v>
      </c>
      <c r="L41" s="217">
        <f t="shared" si="9"/>
        <v>1</v>
      </c>
      <c r="M41" s="217">
        <f t="shared" si="9"/>
        <v>0</v>
      </c>
      <c r="N41" s="217">
        <f t="shared" si="9"/>
        <v>0</v>
      </c>
      <c r="O41" s="217">
        <f t="shared" si="9"/>
        <v>0</v>
      </c>
      <c r="P41" s="217">
        <f t="shared" si="9"/>
        <v>0</v>
      </c>
      <c r="Q41" s="217">
        <f t="shared" si="9"/>
        <v>0</v>
      </c>
      <c r="R41" s="217">
        <f t="shared" si="9"/>
        <v>1</v>
      </c>
      <c r="S41" s="217">
        <f t="shared" si="9"/>
        <v>1</v>
      </c>
      <c r="T41" s="217">
        <f t="shared" si="9"/>
        <v>0</v>
      </c>
      <c r="U41" s="217">
        <f t="shared" si="9"/>
        <v>11</v>
      </c>
      <c r="V41" s="158"/>
      <c r="W41" s="150"/>
      <c r="X41" s="150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6"/>
      <c r="BK41" s="246"/>
      <c r="BL41" s="246"/>
      <c r="BM41" s="246"/>
      <c r="BN41" s="246"/>
    </row>
    <row r="42" spans="1:66" s="250" customFormat="1" ht="12">
      <c r="A42" s="244" t="s">
        <v>109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9"/>
      <c r="S42" s="163"/>
      <c r="T42" s="163"/>
      <c r="U42" s="172"/>
      <c r="V42" s="164"/>
      <c r="W42" s="150"/>
      <c r="X42" s="150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49"/>
      <c r="AT42" s="249"/>
      <c r="AU42" s="249"/>
      <c r="AV42" s="249"/>
      <c r="AW42" s="249"/>
      <c r="AX42" s="249"/>
      <c r="AY42" s="249"/>
      <c r="AZ42" s="249"/>
      <c r="BA42" s="249"/>
      <c r="BB42" s="249"/>
      <c r="BC42" s="249"/>
      <c r="BD42" s="249"/>
      <c r="BE42" s="249"/>
      <c r="BF42" s="249"/>
      <c r="BG42" s="249"/>
      <c r="BH42" s="249"/>
      <c r="BI42" s="249"/>
      <c r="BJ42" s="249"/>
      <c r="BK42" s="249"/>
      <c r="BL42" s="249"/>
      <c r="BM42" s="249"/>
      <c r="BN42" s="249"/>
    </row>
    <row r="43" spans="1:66" ht="13.5" customHeight="1">
      <c r="A43" s="245" t="s">
        <v>105</v>
      </c>
      <c r="B43" s="215">
        <v>540</v>
      </c>
      <c r="C43" s="219">
        <v>60</v>
      </c>
      <c r="D43" s="219">
        <v>204</v>
      </c>
      <c r="E43" s="219">
        <v>119</v>
      </c>
      <c r="F43" s="169">
        <v>2346</v>
      </c>
      <c r="G43" s="253">
        <v>99</v>
      </c>
      <c r="H43" s="253">
        <v>241</v>
      </c>
      <c r="I43" s="169">
        <v>3468</v>
      </c>
      <c r="J43" s="253">
        <v>2047</v>
      </c>
      <c r="K43" s="253">
        <v>399</v>
      </c>
      <c r="L43" s="253">
        <v>790</v>
      </c>
      <c r="M43" s="253">
        <v>47</v>
      </c>
      <c r="N43" s="169">
        <v>190</v>
      </c>
      <c r="O43" s="169">
        <v>232</v>
      </c>
      <c r="P43" s="254">
        <v>1568</v>
      </c>
      <c r="Q43" s="253">
        <v>736</v>
      </c>
      <c r="R43" s="215">
        <v>1307</v>
      </c>
      <c r="S43" s="215">
        <v>188</v>
      </c>
      <c r="T43" s="253">
        <v>80</v>
      </c>
      <c r="U43" s="172">
        <f>SUM(B43:T43)</f>
        <v>14661</v>
      </c>
      <c r="V43" s="167"/>
      <c r="W43" s="167"/>
      <c r="X43" s="167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246"/>
      <c r="BG43" s="246"/>
      <c r="BH43" s="246"/>
      <c r="BI43" s="246"/>
      <c r="BJ43" s="246"/>
      <c r="BK43" s="246"/>
      <c r="BL43" s="246"/>
      <c r="BM43" s="246"/>
      <c r="BN43" s="246"/>
    </row>
    <row r="44" spans="1:38" ht="12">
      <c r="A44" s="245" t="s">
        <v>115</v>
      </c>
      <c r="B44" s="215">
        <v>247</v>
      </c>
      <c r="C44" s="219">
        <v>16</v>
      </c>
      <c r="D44" s="219">
        <v>43</v>
      </c>
      <c r="E44" s="219">
        <v>89</v>
      </c>
      <c r="F44" s="169">
        <v>1331</v>
      </c>
      <c r="G44" s="253">
        <v>26</v>
      </c>
      <c r="H44" s="169">
        <v>304</v>
      </c>
      <c r="I44" s="169">
        <v>1797</v>
      </c>
      <c r="J44" s="169">
        <v>1166</v>
      </c>
      <c r="K44" s="253">
        <v>159</v>
      </c>
      <c r="L44" s="253">
        <v>165</v>
      </c>
      <c r="M44" s="253">
        <v>35</v>
      </c>
      <c r="N44" s="169">
        <v>72</v>
      </c>
      <c r="O44" s="253">
        <v>153</v>
      </c>
      <c r="P44" s="169">
        <v>807</v>
      </c>
      <c r="Q44" s="253">
        <v>36</v>
      </c>
      <c r="R44" s="215">
        <v>686</v>
      </c>
      <c r="S44" s="215">
        <v>80</v>
      </c>
      <c r="T44" s="253">
        <v>7</v>
      </c>
      <c r="U44" s="172">
        <f>SUM(B44:T44)</f>
        <v>7219</v>
      </c>
      <c r="V44" s="167"/>
      <c r="W44" s="167"/>
      <c r="X44" s="167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</row>
    <row r="45" spans="1:66" ht="12">
      <c r="A45" s="245" t="s">
        <v>107</v>
      </c>
      <c r="B45" s="217">
        <f aca="true" t="shared" si="10" ref="B45:U45">+B43+B44</f>
        <v>787</v>
      </c>
      <c r="C45" s="217">
        <f t="shared" si="10"/>
        <v>76</v>
      </c>
      <c r="D45" s="217">
        <f t="shared" si="10"/>
        <v>247</v>
      </c>
      <c r="E45" s="217">
        <f t="shared" si="10"/>
        <v>208</v>
      </c>
      <c r="F45" s="217">
        <f t="shared" si="10"/>
        <v>3677</v>
      </c>
      <c r="G45" s="217">
        <f t="shared" si="10"/>
        <v>125</v>
      </c>
      <c r="H45" s="217">
        <f t="shared" si="10"/>
        <v>545</v>
      </c>
      <c r="I45" s="217">
        <f t="shared" si="10"/>
        <v>5265</v>
      </c>
      <c r="J45" s="217">
        <f t="shared" si="10"/>
        <v>3213</v>
      </c>
      <c r="K45" s="217">
        <f t="shared" si="10"/>
        <v>558</v>
      </c>
      <c r="L45" s="217">
        <f t="shared" si="10"/>
        <v>955</v>
      </c>
      <c r="M45" s="217">
        <f t="shared" si="10"/>
        <v>82</v>
      </c>
      <c r="N45" s="217">
        <f t="shared" si="10"/>
        <v>262</v>
      </c>
      <c r="O45" s="217">
        <f t="shared" si="10"/>
        <v>385</v>
      </c>
      <c r="P45" s="217">
        <f t="shared" si="10"/>
        <v>2375</v>
      </c>
      <c r="Q45" s="217">
        <f t="shared" si="10"/>
        <v>772</v>
      </c>
      <c r="R45" s="217">
        <f t="shared" si="10"/>
        <v>1993</v>
      </c>
      <c r="S45" s="217">
        <f t="shared" si="10"/>
        <v>268</v>
      </c>
      <c r="T45" s="217">
        <f t="shared" si="10"/>
        <v>87</v>
      </c>
      <c r="U45" s="217">
        <f t="shared" si="10"/>
        <v>21880</v>
      </c>
      <c r="V45" s="158"/>
      <c r="W45" s="150"/>
      <c r="X45" s="150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</row>
    <row r="46" spans="1:38" ht="24">
      <c r="A46" s="244" t="s">
        <v>117</v>
      </c>
      <c r="B46" s="169"/>
      <c r="C46" s="170"/>
      <c r="D46" s="170"/>
      <c r="E46" s="170"/>
      <c r="F46" s="169"/>
      <c r="G46" s="169"/>
      <c r="H46" s="171"/>
      <c r="I46" s="169"/>
      <c r="J46" s="172"/>
      <c r="K46" s="170"/>
      <c r="L46" s="172"/>
      <c r="M46" s="172"/>
      <c r="N46" s="170"/>
      <c r="O46" s="169"/>
      <c r="P46" s="172"/>
      <c r="Q46" s="170"/>
      <c r="R46" s="169"/>
      <c r="S46" s="169"/>
      <c r="T46" s="169"/>
      <c r="U46" s="172"/>
      <c r="V46" s="171"/>
      <c r="W46" s="171"/>
      <c r="X46" s="171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</row>
    <row r="47" spans="1:38" ht="12">
      <c r="A47" s="245" t="s">
        <v>105</v>
      </c>
      <c r="B47" s="215">
        <v>103</v>
      </c>
      <c r="C47" s="219"/>
      <c r="D47" s="219">
        <v>88</v>
      </c>
      <c r="E47" s="219">
        <v>64</v>
      </c>
      <c r="F47" s="169">
        <v>573</v>
      </c>
      <c r="G47" s="253">
        <v>13</v>
      </c>
      <c r="H47" s="169">
        <v>54</v>
      </c>
      <c r="I47" s="169">
        <v>1424</v>
      </c>
      <c r="J47" s="253">
        <v>821</v>
      </c>
      <c r="K47" s="253">
        <v>51</v>
      </c>
      <c r="L47" s="253">
        <v>21</v>
      </c>
      <c r="M47" s="253">
        <v>49</v>
      </c>
      <c r="N47" s="169">
        <v>106</v>
      </c>
      <c r="O47" s="169">
        <v>59</v>
      </c>
      <c r="P47" s="253">
        <v>535</v>
      </c>
      <c r="Q47" s="253">
        <v>96</v>
      </c>
      <c r="R47" s="215">
        <v>373</v>
      </c>
      <c r="S47" s="215">
        <v>132</v>
      </c>
      <c r="T47" s="253">
        <v>29</v>
      </c>
      <c r="U47" s="172">
        <f>SUM(B47:T47)</f>
        <v>4591</v>
      </c>
      <c r="V47" s="150"/>
      <c r="W47" s="150"/>
      <c r="X47" s="150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</row>
    <row r="48" spans="1:38" ht="12">
      <c r="A48" s="245" t="s">
        <v>115</v>
      </c>
      <c r="B48" s="215">
        <v>29</v>
      </c>
      <c r="C48" s="219"/>
      <c r="D48" s="219">
        <v>4</v>
      </c>
      <c r="E48" s="219">
        <v>17</v>
      </c>
      <c r="F48" s="169">
        <v>157</v>
      </c>
      <c r="G48" s="253"/>
      <c r="H48" s="169">
        <v>85</v>
      </c>
      <c r="I48" s="169">
        <v>717</v>
      </c>
      <c r="J48" s="169">
        <v>320</v>
      </c>
      <c r="K48" s="253">
        <v>17</v>
      </c>
      <c r="L48" s="253">
        <v>0</v>
      </c>
      <c r="M48" s="253">
        <v>13</v>
      </c>
      <c r="N48" s="169">
        <v>17</v>
      </c>
      <c r="O48" s="253">
        <v>17</v>
      </c>
      <c r="P48" s="169">
        <v>190</v>
      </c>
      <c r="Q48" s="253">
        <v>5</v>
      </c>
      <c r="R48" s="215">
        <v>142</v>
      </c>
      <c r="S48" s="215">
        <v>27</v>
      </c>
      <c r="T48" s="253">
        <v>1</v>
      </c>
      <c r="U48" s="172">
        <f>SUM(B48:T48)</f>
        <v>1758</v>
      </c>
      <c r="V48" s="164"/>
      <c r="W48" s="164"/>
      <c r="X48" s="164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</row>
    <row r="49" spans="1:66" ht="12">
      <c r="A49" s="245" t="s">
        <v>107</v>
      </c>
      <c r="B49" s="217">
        <f aca="true" t="shared" si="11" ref="B49:U49">+B47+B48</f>
        <v>132</v>
      </c>
      <c r="C49" s="217">
        <f t="shared" si="11"/>
        <v>0</v>
      </c>
      <c r="D49" s="217">
        <f t="shared" si="11"/>
        <v>92</v>
      </c>
      <c r="E49" s="217">
        <f t="shared" si="11"/>
        <v>81</v>
      </c>
      <c r="F49" s="217">
        <f t="shared" si="11"/>
        <v>730</v>
      </c>
      <c r="G49" s="217">
        <f t="shared" si="11"/>
        <v>13</v>
      </c>
      <c r="H49" s="217">
        <f t="shared" si="11"/>
        <v>139</v>
      </c>
      <c r="I49" s="217">
        <f t="shared" si="11"/>
        <v>2141</v>
      </c>
      <c r="J49" s="217">
        <f t="shared" si="11"/>
        <v>1141</v>
      </c>
      <c r="K49" s="217">
        <f t="shared" si="11"/>
        <v>68</v>
      </c>
      <c r="L49" s="217">
        <f t="shared" si="11"/>
        <v>21</v>
      </c>
      <c r="M49" s="217">
        <f t="shared" si="11"/>
        <v>62</v>
      </c>
      <c r="N49" s="217">
        <f t="shared" si="11"/>
        <v>123</v>
      </c>
      <c r="O49" s="217">
        <f t="shared" si="11"/>
        <v>76</v>
      </c>
      <c r="P49" s="217">
        <f t="shared" si="11"/>
        <v>725</v>
      </c>
      <c r="Q49" s="217">
        <f t="shared" si="11"/>
        <v>101</v>
      </c>
      <c r="R49" s="217">
        <f t="shared" si="11"/>
        <v>515</v>
      </c>
      <c r="S49" s="217">
        <f t="shared" si="11"/>
        <v>159</v>
      </c>
      <c r="T49" s="217">
        <f t="shared" si="11"/>
        <v>30</v>
      </c>
      <c r="U49" s="217">
        <f t="shared" si="11"/>
        <v>6349</v>
      </c>
      <c r="V49" s="158"/>
      <c r="W49" s="150"/>
      <c r="X49" s="150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6"/>
      <c r="AU49" s="246"/>
      <c r="AV49" s="246"/>
      <c r="AW49" s="246"/>
      <c r="AX49" s="246"/>
      <c r="AY49" s="246"/>
      <c r="AZ49" s="246"/>
      <c r="BA49" s="246"/>
      <c r="BB49" s="246"/>
      <c r="BC49" s="246"/>
      <c r="BD49" s="246"/>
      <c r="BE49" s="246"/>
      <c r="BF49" s="246"/>
      <c r="BG49" s="246"/>
      <c r="BH49" s="246"/>
      <c r="BI49" s="246"/>
      <c r="BJ49" s="246"/>
      <c r="BK49" s="246"/>
      <c r="BL49" s="246"/>
      <c r="BM49" s="246"/>
      <c r="BN49" s="246"/>
    </row>
    <row r="50" spans="1:66" ht="12">
      <c r="A50" s="244" t="s">
        <v>111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72"/>
      <c r="V50" s="158"/>
      <c r="W50" s="150"/>
      <c r="X50" s="150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  <c r="AZ50" s="246"/>
      <c r="BA50" s="246"/>
      <c r="BB50" s="246"/>
      <c r="BC50" s="246"/>
      <c r="BD50" s="246"/>
      <c r="BE50" s="246"/>
      <c r="BF50" s="246"/>
      <c r="BG50" s="246"/>
      <c r="BH50" s="246"/>
      <c r="BI50" s="246"/>
      <c r="BJ50" s="246"/>
      <c r="BK50" s="246"/>
      <c r="BL50" s="246"/>
      <c r="BM50" s="246"/>
      <c r="BN50" s="246"/>
    </row>
    <row r="51" spans="1:66" ht="12">
      <c r="A51" s="245" t="s">
        <v>105</v>
      </c>
      <c r="B51" s="215"/>
      <c r="C51" s="219">
        <v>277</v>
      </c>
      <c r="D51" s="219"/>
      <c r="E51" s="219"/>
      <c r="F51" s="169"/>
      <c r="G51" s="253">
        <v>764</v>
      </c>
      <c r="H51" s="254">
        <v>1810</v>
      </c>
      <c r="I51" s="169">
        <v>356</v>
      </c>
      <c r="J51" s="253"/>
      <c r="K51" s="253"/>
      <c r="L51" s="254">
        <v>1114</v>
      </c>
      <c r="M51" s="253">
        <v>243</v>
      </c>
      <c r="N51" s="169"/>
      <c r="O51" s="169"/>
      <c r="P51" s="253"/>
      <c r="Q51" s="253"/>
      <c r="R51" s="215"/>
      <c r="S51" s="215"/>
      <c r="T51" s="253"/>
      <c r="U51" s="172">
        <f>SUM(B51:T51)</f>
        <v>4564</v>
      </c>
      <c r="V51" s="158"/>
      <c r="W51" s="150"/>
      <c r="X51" s="150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  <c r="BA51" s="246"/>
      <c r="BB51" s="246"/>
      <c r="BC51" s="246"/>
      <c r="BD51" s="246"/>
      <c r="BE51" s="246"/>
      <c r="BF51" s="246"/>
      <c r="BG51" s="246"/>
      <c r="BH51" s="246"/>
      <c r="BI51" s="246"/>
      <c r="BJ51" s="246"/>
      <c r="BK51" s="246"/>
      <c r="BL51" s="246"/>
      <c r="BM51" s="246"/>
      <c r="BN51" s="246"/>
    </row>
    <row r="52" spans="1:66" ht="12">
      <c r="A52" s="245" t="s">
        <v>115</v>
      </c>
      <c r="B52" s="215"/>
      <c r="C52" s="219">
        <v>20</v>
      </c>
      <c r="D52" s="219"/>
      <c r="E52" s="219"/>
      <c r="F52" s="169"/>
      <c r="G52" s="253">
        <v>101</v>
      </c>
      <c r="H52" s="169">
        <v>396</v>
      </c>
      <c r="I52" s="169">
        <v>273</v>
      </c>
      <c r="J52" s="169"/>
      <c r="K52" s="253"/>
      <c r="L52" s="253">
        <v>147</v>
      </c>
      <c r="M52" s="253">
        <v>91</v>
      </c>
      <c r="N52" s="169"/>
      <c r="O52" s="253"/>
      <c r="P52" s="169"/>
      <c r="Q52" s="253"/>
      <c r="R52" s="215"/>
      <c r="S52" s="215"/>
      <c r="T52" s="253"/>
      <c r="U52" s="172">
        <f>SUM(B52:T52)</f>
        <v>1028</v>
      </c>
      <c r="V52" s="158"/>
      <c r="W52" s="150"/>
      <c r="X52" s="150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246"/>
      <c r="BC52" s="246"/>
      <c r="BD52" s="246"/>
      <c r="BE52" s="246"/>
      <c r="BF52" s="246"/>
      <c r="BG52" s="246"/>
      <c r="BH52" s="246"/>
      <c r="BI52" s="246"/>
      <c r="BJ52" s="246"/>
      <c r="BK52" s="246"/>
      <c r="BL52" s="246"/>
      <c r="BM52" s="246"/>
      <c r="BN52" s="246"/>
    </row>
    <row r="53" spans="1:66" ht="12">
      <c r="A53" s="245" t="s">
        <v>107</v>
      </c>
      <c r="B53" s="217">
        <f aca="true" t="shared" si="12" ref="B53:U53">+B51+B52</f>
        <v>0</v>
      </c>
      <c r="C53" s="217">
        <f t="shared" si="12"/>
        <v>297</v>
      </c>
      <c r="D53" s="217">
        <f t="shared" si="12"/>
        <v>0</v>
      </c>
      <c r="E53" s="217">
        <f t="shared" si="12"/>
        <v>0</v>
      </c>
      <c r="F53" s="217">
        <f t="shared" si="12"/>
        <v>0</v>
      </c>
      <c r="G53" s="217">
        <f t="shared" si="12"/>
        <v>865</v>
      </c>
      <c r="H53" s="217">
        <f t="shared" si="12"/>
        <v>2206</v>
      </c>
      <c r="I53" s="217">
        <f t="shared" si="12"/>
        <v>629</v>
      </c>
      <c r="J53" s="217">
        <f t="shared" si="12"/>
        <v>0</v>
      </c>
      <c r="K53" s="217">
        <f t="shared" si="12"/>
        <v>0</v>
      </c>
      <c r="L53" s="217">
        <f t="shared" si="12"/>
        <v>1261</v>
      </c>
      <c r="M53" s="217">
        <f t="shared" si="12"/>
        <v>334</v>
      </c>
      <c r="N53" s="217">
        <f t="shared" si="12"/>
        <v>0</v>
      </c>
      <c r="O53" s="217">
        <f t="shared" si="12"/>
        <v>0</v>
      </c>
      <c r="P53" s="217">
        <f t="shared" si="12"/>
        <v>0</v>
      </c>
      <c r="Q53" s="217">
        <f t="shared" si="12"/>
        <v>0</v>
      </c>
      <c r="R53" s="217">
        <f t="shared" si="12"/>
        <v>0</v>
      </c>
      <c r="S53" s="217">
        <f t="shared" si="12"/>
        <v>0</v>
      </c>
      <c r="T53" s="217">
        <f t="shared" si="12"/>
        <v>0</v>
      </c>
      <c r="U53" s="217">
        <f t="shared" si="12"/>
        <v>5592</v>
      </c>
      <c r="V53" s="158"/>
      <c r="W53" s="150"/>
      <c r="X53" s="150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  <c r="BB53" s="246"/>
      <c r="BC53" s="246"/>
      <c r="BD53" s="246"/>
      <c r="BE53" s="246"/>
      <c r="BF53" s="246"/>
      <c r="BG53" s="246"/>
      <c r="BH53" s="246"/>
      <c r="BI53" s="246"/>
      <c r="BJ53" s="246"/>
      <c r="BK53" s="246"/>
      <c r="BL53" s="246"/>
      <c r="BM53" s="246"/>
      <c r="BN53" s="246"/>
    </row>
    <row r="54" spans="1:38" ht="12">
      <c r="A54" s="244" t="s">
        <v>112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51"/>
      <c r="V54" s="150"/>
      <c r="W54" s="150"/>
      <c r="X54" s="150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</row>
    <row r="55" spans="1:24" ht="12">
      <c r="A55" s="245" t="s">
        <v>105</v>
      </c>
      <c r="B55" s="223">
        <f>+B51+B47+B43+B39+B35</f>
        <v>643</v>
      </c>
      <c r="C55" s="223">
        <f aca="true" t="shared" si="13" ref="C55:U56">+C51+C47+C43+C39+C35</f>
        <v>337</v>
      </c>
      <c r="D55" s="223">
        <f t="shared" si="13"/>
        <v>292</v>
      </c>
      <c r="E55" s="223">
        <f t="shared" si="13"/>
        <v>183</v>
      </c>
      <c r="F55" s="223">
        <f t="shared" si="13"/>
        <v>2919</v>
      </c>
      <c r="G55" s="223">
        <f t="shared" si="13"/>
        <v>882</v>
      </c>
      <c r="H55" s="223">
        <f t="shared" si="13"/>
        <v>2105</v>
      </c>
      <c r="I55" s="223">
        <f t="shared" si="13"/>
        <v>5248</v>
      </c>
      <c r="J55" s="223">
        <f t="shared" si="13"/>
        <v>2868</v>
      </c>
      <c r="K55" s="223">
        <f t="shared" si="13"/>
        <v>450</v>
      </c>
      <c r="L55" s="223">
        <f t="shared" si="13"/>
        <v>1925</v>
      </c>
      <c r="M55" s="223">
        <f t="shared" si="13"/>
        <v>339</v>
      </c>
      <c r="N55" s="223">
        <f t="shared" si="13"/>
        <v>296</v>
      </c>
      <c r="O55" s="223">
        <f t="shared" si="13"/>
        <v>361</v>
      </c>
      <c r="P55" s="223">
        <f t="shared" si="13"/>
        <v>2103</v>
      </c>
      <c r="Q55" s="223">
        <f t="shared" si="13"/>
        <v>833</v>
      </c>
      <c r="R55" s="223">
        <f t="shared" si="13"/>
        <v>1680</v>
      </c>
      <c r="S55" s="223">
        <f t="shared" si="13"/>
        <v>320</v>
      </c>
      <c r="T55" s="223">
        <f t="shared" si="13"/>
        <v>109</v>
      </c>
      <c r="U55" s="223">
        <f t="shared" si="13"/>
        <v>23893</v>
      </c>
      <c r="V55" s="181"/>
      <c r="W55" s="181"/>
      <c r="X55" s="181"/>
    </row>
    <row r="56" spans="1:24" ht="12">
      <c r="A56" s="245" t="s">
        <v>115</v>
      </c>
      <c r="B56" s="223">
        <f>+B52+B48+B44+B40+B36</f>
        <v>328</v>
      </c>
      <c r="C56" s="223">
        <f t="shared" si="13"/>
        <v>36</v>
      </c>
      <c r="D56" s="223">
        <f t="shared" si="13"/>
        <v>57</v>
      </c>
      <c r="E56" s="223">
        <f t="shared" si="13"/>
        <v>144</v>
      </c>
      <c r="F56" s="223">
        <f t="shared" si="13"/>
        <v>1645</v>
      </c>
      <c r="G56" s="223">
        <f t="shared" si="13"/>
        <v>166</v>
      </c>
      <c r="H56" s="223">
        <f t="shared" si="13"/>
        <v>1235</v>
      </c>
      <c r="I56" s="223">
        <f t="shared" si="13"/>
        <v>3301</v>
      </c>
      <c r="J56" s="223">
        <f t="shared" si="13"/>
        <v>1935</v>
      </c>
      <c r="K56" s="223">
        <f t="shared" si="13"/>
        <v>195</v>
      </c>
      <c r="L56" s="223">
        <f t="shared" si="13"/>
        <v>387</v>
      </c>
      <c r="M56" s="223">
        <f t="shared" si="13"/>
        <v>157</v>
      </c>
      <c r="N56" s="223">
        <f t="shared" si="13"/>
        <v>111</v>
      </c>
      <c r="O56" s="223">
        <f t="shared" si="13"/>
        <v>222</v>
      </c>
      <c r="P56" s="223">
        <f t="shared" si="13"/>
        <v>1148</v>
      </c>
      <c r="Q56" s="223">
        <f t="shared" si="13"/>
        <v>77</v>
      </c>
      <c r="R56" s="223">
        <f t="shared" si="13"/>
        <v>1036</v>
      </c>
      <c r="S56" s="223">
        <f t="shared" si="13"/>
        <v>119</v>
      </c>
      <c r="T56" s="223">
        <f t="shared" si="13"/>
        <v>9</v>
      </c>
      <c r="U56" s="223">
        <f t="shared" si="13"/>
        <v>12308</v>
      </c>
      <c r="V56" s="181"/>
      <c r="W56" s="181"/>
      <c r="X56" s="181"/>
    </row>
    <row r="57" spans="1:80" ht="12">
      <c r="A57" s="245" t="s">
        <v>107</v>
      </c>
      <c r="B57" s="217">
        <f aca="true" t="shared" si="14" ref="B57:U57">+B55+B56</f>
        <v>971</v>
      </c>
      <c r="C57" s="217">
        <f>+C55+C56</f>
        <v>373</v>
      </c>
      <c r="D57" s="217">
        <f t="shared" si="14"/>
        <v>349</v>
      </c>
      <c r="E57" s="217">
        <f t="shared" si="14"/>
        <v>327</v>
      </c>
      <c r="F57" s="217">
        <f t="shared" si="14"/>
        <v>4564</v>
      </c>
      <c r="G57" s="217">
        <f t="shared" si="14"/>
        <v>1048</v>
      </c>
      <c r="H57" s="217">
        <f t="shared" si="14"/>
        <v>3340</v>
      </c>
      <c r="I57" s="217">
        <f t="shared" si="14"/>
        <v>8549</v>
      </c>
      <c r="J57" s="217">
        <f t="shared" si="14"/>
        <v>4803</v>
      </c>
      <c r="K57" s="217">
        <f t="shared" si="14"/>
        <v>645</v>
      </c>
      <c r="L57" s="217">
        <f t="shared" si="14"/>
        <v>2312</v>
      </c>
      <c r="M57" s="217">
        <f t="shared" si="14"/>
        <v>496</v>
      </c>
      <c r="N57" s="217">
        <f t="shared" si="14"/>
        <v>407</v>
      </c>
      <c r="O57" s="217">
        <f t="shared" si="14"/>
        <v>583</v>
      </c>
      <c r="P57" s="217">
        <f t="shared" si="14"/>
        <v>3251</v>
      </c>
      <c r="Q57" s="217">
        <f t="shared" si="14"/>
        <v>910</v>
      </c>
      <c r="R57" s="217">
        <f t="shared" si="14"/>
        <v>2716</v>
      </c>
      <c r="S57" s="217">
        <f t="shared" si="14"/>
        <v>439</v>
      </c>
      <c r="T57" s="217">
        <f t="shared" si="14"/>
        <v>118</v>
      </c>
      <c r="U57" s="217">
        <f t="shared" si="14"/>
        <v>36201</v>
      </c>
      <c r="V57" s="158"/>
      <c r="W57" s="150"/>
      <c r="X57" s="150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O57" s="246"/>
      <c r="AP57" s="246"/>
      <c r="AQ57" s="246"/>
      <c r="AR57" s="246"/>
      <c r="AS57" s="246"/>
      <c r="AT57" s="246"/>
      <c r="AU57" s="246"/>
      <c r="AV57" s="246"/>
      <c r="AW57" s="246"/>
      <c r="AX57" s="246"/>
      <c r="AY57" s="246"/>
      <c r="AZ57" s="246"/>
      <c r="BA57" s="246"/>
      <c r="BB57" s="246"/>
      <c r="BC57" s="246"/>
      <c r="BD57" s="246"/>
      <c r="BE57" s="246"/>
      <c r="BF57" s="246"/>
      <c r="BG57" s="246"/>
      <c r="BH57" s="246"/>
      <c r="BI57" s="246"/>
      <c r="BJ57" s="246"/>
      <c r="BK57" s="246"/>
      <c r="BL57" s="246"/>
      <c r="BM57" s="246"/>
      <c r="BN57" s="246"/>
      <c r="BO57" s="246"/>
      <c r="BP57" s="246"/>
      <c r="BQ57" s="246"/>
      <c r="BR57" s="246"/>
      <c r="BS57" s="246"/>
      <c r="BT57" s="246"/>
      <c r="BU57" s="246"/>
      <c r="BV57" s="246"/>
      <c r="BW57" s="246"/>
      <c r="BX57" s="246"/>
      <c r="BY57" s="246"/>
      <c r="BZ57" s="246"/>
      <c r="CA57" s="246"/>
      <c r="CB57" s="246"/>
    </row>
    <row r="58" spans="2:21" s="135" customFormat="1" ht="12">
      <c r="B58" s="218"/>
      <c r="C58" s="218"/>
      <c r="E58" s="218"/>
      <c r="F58" s="218"/>
      <c r="G58" s="218"/>
      <c r="H58" s="218"/>
      <c r="I58" s="218"/>
      <c r="J58" s="218"/>
      <c r="K58" s="218" t="s">
        <v>65</v>
      </c>
      <c r="L58" s="218"/>
      <c r="M58" s="218"/>
      <c r="N58" s="218"/>
      <c r="O58" s="218"/>
      <c r="P58" s="252"/>
      <c r="Q58" s="218"/>
      <c r="R58" s="218"/>
      <c r="S58" s="218"/>
      <c r="T58" s="218"/>
      <c r="U58" s="218"/>
    </row>
    <row r="59" spans="1:66" s="120" customFormat="1" ht="12">
      <c r="A59" s="244" t="s">
        <v>104</v>
      </c>
      <c r="B59" s="215"/>
      <c r="C59" s="215"/>
      <c r="D59" s="169"/>
      <c r="E59" s="169"/>
      <c r="F59" s="169"/>
      <c r="G59" s="169"/>
      <c r="H59" s="215"/>
      <c r="I59" s="169"/>
      <c r="J59" s="169"/>
      <c r="K59" s="215"/>
      <c r="L59" s="169"/>
      <c r="M59" s="169"/>
      <c r="N59" s="169"/>
      <c r="O59" s="169"/>
      <c r="P59" s="169"/>
      <c r="Q59" s="169"/>
      <c r="R59" s="215"/>
      <c r="S59" s="215"/>
      <c r="T59" s="215"/>
      <c r="U59" s="172"/>
      <c r="V59" s="150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  <c r="BL59" s="171"/>
      <c r="BM59" s="171"/>
      <c r="BN59" s="171"/>
    </row>
    <row r="60" spans="1:66" ht="12">
      <c r="A60" s="245" t="s">
        <v>105</v>
      </c>
      <c r="B60" s="215"/>
      <c r="C60" s="219"/>
      <c r="D60" s="219"/>
      <c r="E60" s="219">
        <v>0</v>
      </c>
      <c r="F60" s="169"/>
      <c r="G60" s="253">
        <v>11</v>
      </c>
      <c r="H60" s="253"/>
      <c r="I60" s="169"/>
      <c r="J60" s="253">
        <v>0</v>
      </c>
      <c r="K60" s="253"/>
      <c r="L60" s="253">
        <v>2</v>
      </c>
      <c r="M60" s="253"/>
      <c r="N60" s="169"/>
      <c r="O60" s="169">
        <v>790</v>
      </c>
      <c r="P60" s="253">
        <v>1</v>
      </c>
      <c r="Q60" s="253">
        <v>1</v>
      </c>
      <c r="R60" s="215"/>
      <c r="S60" s="215"/>
      <c r="T60" s="253"/>
      <c r="U60" s="172">
        <f>SUM(B60:T60)</f>
        <v>805</v>
      </c>
      <c r="V60" s="150"/>
      <c r="W60" s="150"/>
      <c r="X60" s="150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6"/>
      <c r="AQ60" s="246"/>
      <c r="AR60" s="246"/>
      <c r="AS60" s="246"/>
      <c r="AT60" s="246"/>
      <c r="AU60" s="246"/>
      <c r="AV60" s="246"/>
      <c r="AW60" s="246"/>
      <c r="AX60" s="246"/>
      <c r="AY60" s="246"/>
      <c r="AZ60" s="246"/>
      <c r="BA60" s="246"/>
      <c r="BB60" s="246"/>
      <c r="BC60" s="246"/>
      <c r="BD60" s="246"/>
      <c r="BE60" s="246"/>
      <c r="BF60" s="246"/>
      <c r="BG60" s="246"/>
      <c r="BH60" s="246"/>
      <c r="BI60" s="246"/>
      <c r="BJ60" s="246"/>
      <c r="BK60" s="246"/>
      <c r="BL60" s="246"/>
      <c r="BM60" s="246"/>
      <c r="BN60" s="246"/>
    </row>
    <row r="61" spans="1:66" ht="12">
      <c r="A61" s="245" t="s">
        <v>115</v>
      </c>
      <c r="B61" s="215">
        <v>20</v>
      </c>
      <c r="C61" s="219"/>
      <c r="D61" s="219">
        <v>2</v>
      </c>
      <c r="E61" s="219">
        <v>99</v>
      </c>
      <c r="F61" s="169">
        <v>142</v>
      </c>
      <c r="G61" s="253">
        <v>106</v>
      </c>
      <c r="H61" s="169">
        <v>621</v>
      </c>
      <c r="I61" s="169">
        <v>110</v>
      </c>
      <c r="J61" s="169">
        <v>654</v>
      </c>
      <c r="K61" s="253">
        <v>153</v>
      </c>
      <c r="L61" s="253">
        <v>52</v>
      </c>
      <c r="M61" s="253">
        <v>36</v>
      </c>
      <c r="N61" s="169">
        <v>75</v>
      </c>
      <c r="O61" s="253">
        <v>650</v>
      </c>
      <c r="P61" s="169">
        <v>123</v>
      </c>
      <c r="Q61" s="253">
        <v>50</v>
      </c>
      <c r="R61" s="215">
        <v>268</v>
      </c>
      <c r="S61" s="215">
        <v>12</v>
      </c>
      <c r="T61" s="253">
        <v>6</v>
      </c>
      <c r="U61" s="172">
        <f>SUM(B61:T61)</f>
        <v>3179</v>
      </c>
      <c r="V61" s="150"/>
      <c r="W61" s="150"/>
      <c r="X61" s="150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  <c r="AO61" s="246"/>
      <c r="AP61" s="246"/>
      <c r="AQ61" s="246"/>
      <c r="AR61" s="246"/>
      <c r="AS61" s="246"/>
      <c r="AT61" s="246"/>
      <c r="AU61" s="246"/>
      <c r="AV61" s="246"/>
      <c r="AW61" s="246"/>
      <c r="AX61" s="246"/>
      <c r="AY61" s="246"/>
      <c r="AZ61" s="246"/>
      <c r="BA61" s="246"/>
      <c r="BB61" s="246"/>
      <c r="BC61" s="246"/>
      <c r="BD61" s="246"/>
      <c r="BE61" s="246"/>
      <c r="BF61" s="246"/>
      <c r="BG61" s="246"/>
      <c r="BH61" s="246"/>
      <c r="BI61" s="246"/>
      <c r="BJ61" s="246"/>
      <c r="BK61" s="246"/>
      <c r="BL61" s="246"/>
      <c r="BM61" s="246"/>
      <c r="BN61" s="246"/>
    </row>
    <row r="62" spans="1:66" ht="12">
      <c r="A62" s="245" t="s">
        <v>107</v>
      </c>
      <c r="B62" s="217">
        <f aca="true" t="shared" si="15" ref="B62:U62">+B60+B61</f>
        <v>20</v>
      </c>
      <c r="C62" s="217">
        <f t="shared" si="15"/>
        <v>0</v>
      </c>
      <c r="D62" s="217">
        <f t="shared" si="15"/>
        <v>2</v>
      </c>
      <c r="E62" s="217">
        <f t="shared" si="15"/>
        <v>99</v>
      </c>
      <c r="F62" s="217">
        <f t="shared" si="15"/>
        <v>142</v>
      </c>
      <c r="G62" s="217">
        <f t="shared" si="15"/>
        <v>117</v>
      </c>
      <c r="H62" s="217">
        <f t="shared" si="15"/>
        <v>621</v>
      </c>
      <c r="I62" s="217">
        <f t="shared" si="15"/>
        <v>110</v>
      </c>
      <c r="J62" s="217">
        <f t="shared" si="15"/>
        <v>654</v>
      </c>
      <c r="K62" s="217">
        <f t="shared" si="15"/>
        <v>153</v>
      </c>
      <c r="L62" s="217">
        <f t="shared" si="15"/>
        <v>54</v>
      </c>
      <c r="M62" s="217">
        <f t="shared" si="15"/>
        <v>36</v>
      </c>
      <c r="N62" s="217">
        <f t="shared" si="15"/>
        <v>75</v>
      </c>
      <c r="O62" s="217">
        <f t="shared" si="15"/>
        <v>1440</v>
      </c>
      <c r="P62" s="217">
        <f t="shared" si="15"/>
        <v>124</v>
      </c>
      <c r="Q62" s="217">
        <f t="shared" si="15"/>
        <v>51</v>
      </c>
      <c r="R62" s="217">
        <f t="shared" si="15"/>
        <v>268</v>
      </c>
      <c r="S62" s="217">
        <f t="shared" si="15"/>
        <v>12</v>
      </c>
      <c r="T62" s="217">
        <f t="shared" si="15"/>
        <v>6</v>
      </c>
      <c r="U62" s="217">
        <f t="shared" si="15"/>
        <v>3984</v>
      </c>
      <c r="V62" s="158"/>
      <c r="W62" s="150"/>
      <c r="X62" s="150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  <c r="AM62" s="246"/>
      <c r="AN62" s="246"/>
      <c r="AO62" s="246"/>
      <c r="AP62" s="246"/>
      <c r="AQ62" s="246"/>
      <c r="AR62" s="246"/>
      <c r="AS62" s="246"/>
      <c r="AT62" s="246"/>
      <c r="AU62" s="246"/>
      <c r="AV62" s="246"/>
      <c r="AW62" s="246"/>
      <c r="AX62" s="246"/>
      <c r="AY62" s="246"/>
      <c r="AZ62" s="246"/>
      <c r="BA62" s="246"/>
      <c r="BB62" s="246"/>
      <c r="BC62" s="246"/>
      <c r="BD62" s="246"/>
      <c r="BE62" s="246"/>
      <c r="BF62" s="246"/>
      <c r="BG62" s="246"/>
      <c r="BH62" s="246"/>
      <c r="BI62" s="246"/>
      <c r="BJ62" s="246"/>
      <c r="BK62" s="246"/>
      <c r="BL62" s="246"/>
      <c r="BM62" s="246"/>
      <c r="BN62" s="246"/>
    </row>
    <row r="63" spans="1:66" ht="12">
      <c r="A63" s="244" t="s">
        <v>108</v>
      </c>
      <c r="B63" s="215"/>
      <c r="C63" s="169"/>
      <c r="D63" s="169"/>
      <c r="E63" s="169"/>
      <c r="F63" s="169"/>
      <c r="G63" s="169"/>
      <c r="H63" s="215"/>
      <c r="I63" s="169"/>
      <c r="J63" s="169"/>
      <c r="K63" s="215"/>
      <c r="L63" s="169"/>
      <c r="M63" s="169"/>
      <c r="N63" s="169"/>
      <c r="O63" s="169"/>
      <c r="P63" s="169"/>
      <c r="Q63" s="169"/>
      <c r="R63" s="215"/>
      <c r="S63" s="215"/>
      <c r="T63" s="215"/>
      <c r="U63" s="172"/>
      <c r="V63" s="158"/>
      <c r="W63" s="150"/>
      <c r="X63" s="150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  <c r="AM63" s="246"/>
      <c r="AN63" s="246"/>
      <c r="AO63" s="246"/>
      <c r="AP63" s="246"/>
      <c r="AQ63" s="246"/>
      <c r="AR63" s="246"/>
      <c r="AS63" s="246"/>
      <c r="AT63" s="246"/>
      <c r="AU63" s="246"/>
      <c r="AV63" s="246"/>
      <c r="AW63" s="246"/>
      <c r="AX63" s="246"/>
      <c r="AY63" s="246"/>
      <c r="AZ63" s="246"/>
      <c r="BA63" s="246"/>
      <c r="BB63" s="246"/>
      <c r="BC63" s="246"/>
      <c r="BD63" s="246"/>
      <c r="BE63" s="246"/>
      <c r="BF63" s="246"/>
      <c r="BG63" s="246"/>
      <c r="BH63" s="246"/>
      <c r="BI63" s="246"/>
      <c r="BJ63" s="246"/>
      <c r="BK63" s="246"/>
      <c r="BL63" s="246"/>
      <c r="BM63" s="246"/>
      <c r="BN63" s="246"/>
    </row>
    <row r="64" spans="1:66" ht="12">
      <c r="A64" s="245" t="s">
        <v>105</v>
      </c>
      <c r="B64" s="215"/>
      <c r="C64" s="219"/>
      <c r="D64" s="219"/>
      <c r="E64" s="219"/>
      <c r="F64" s="169"/>
      <c r="G64" s="253"/>
      <c r="H64" s="253"/>
      <c r="I64" s="169"/>
      <c r="J64" s="253"/>
      <c r="K64" s="253"/>
      <c r="L64" s="253">
        <v>0</v>
      </c>
      <c r="M64" s="253"/>
      <c r="N64" s="169"/>
      <c r="O64" s="169"/>
      <c r="P64" s="253"/>
      <c r="Q64" s="253"/>
      <c r="R64" s="215"/>
      <c r="S64" s="215"/>
      <c r="T64" s="253"/>
      <c r="U64" s="172">
        <f>SUM(B64:T64)</f>
        <v>0</v>
      </c>
      <c r="V64" s="158"/>
      <c r="W64" s="150"/>
      <c r="X64" s="150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6"/>
      <c r="AS64" s="246"/>
      <c r="AT64" s="246"/>
      <c r="AU64" s="246"/>
      <c r="AV64" s="246"/>
      <c r="AW64" s="246"/>
      <c r="AX64" s="246"/>
      <c r="AY64" s="246"/>
      <c r="AZ64" s="246"/>
      <c r="BA64" s="246"/>
      <c r="BB64" s="246"/>
      <c r="BC64" s="246"/>
      <c r="BD64" s="246"/>
      <c r="BE64" s="246"/>
      <c r="BF64" s="246"/>
      <c r="BG64" s="246"/>
      <c r="BH64" s="246"/>
      <c r="BI64" s="246"/>
      <c r="BJ64" s="246"/>
      <c r="BK64" s="246"/>
      <c r="BL64" s="246"/>
      <c r="BM64" s="246"/>
      <c r="BN64" s="246"/>
    </row>
    <row r="65" spans="1:66" s="248" customFormat="1" ht="12">
      <c r="A65" s="245" t="s">
        <v>115</v>
      </c>
      <c r="B65" s="215"/>
      <c r="C65" s="219"/>
      <c r="D65" s="219"/>
      <c r="E65" s="219">
        <v>3</v>
      </c>
      <c r="F65" s="169">
        <v>2</v>
      </c>
      <c r="G65" s="253"/>
      <c r="H65" s="169">
        <v>1</v>
      </c>
      <c r="I65" s="169">
        <v>1</v>
      </c>
      <c r="J65" s="169"/>
      <c r="K65" s="253"/>
      <c r="L65" s="253">
        <v>0</v>
      </c>
      <c r="M65" s="253">
        <v>0</v>
      </c>
      <c r="N65" s="169"/>
      <c r="O65" s="253">
        <v>1</v>
      </c>
      <c r="P65" s="169"/>
      <c r="Q65" s="253"/>
      <c r="R65" s="215"/>
      <c r="S65" s="215">
        <v>0</v>
      </c>
      <c r="T65" s="253"/>
      <c r="U65" s="172">
        <f>SUM(B65:T65)</f>
        <v>8</v>
      </c>
      <c r="V65" s="164"/>
      <c r="W65" s="150"/>
      <c r="X65" s="150"/>
      <c r="Y65" s="247"/>
      <c r="Z65" s="247"/>
      <c r="AA65" s="247"/>
      <c r="AB65" s="247"/>
      <c r="AC65" s="247"/>
      <c r="AD65" s="247"/>
      <c r="AE65" s="247"/>
      <c r="AF65" s="247"/>
      <c r="AG65" s="247"/>
      <c r="AH65" s="247"/>
      <c r="AI65" s="247"/>
      <c r="AJ65" s="247"/>
      <c r="AK65" s="247"/>
      <c r="AL65" s="247"/>
      <c r="AM65" s="247"/>
      <c r="AN65" s="247"/>
      <c r="AO65" s="247"/>
      <c r="AP65" s="247"/>
      <c r="AQ65" s="247"/>
      <c r="AR65" s="247"/>
      <c r="AS65" s="247"/>
      <c r="AT65" s="247"/>
      <c r="AU65" s="247"/>
      <c r="AV65" s="247"/>
      <c r="AW65" s="247"/>
      <c r="AX65" s="247"/>
      <c r="AY65" s="247"/>
      <c r="AZ65" s="247"/>
      <c r="BA65" s="247"/>
      <c r="BB65" s="247"/>
      <c r="BC65" s="247"/>
      <c r="BD65" s="247"/>
      <c r="BE65" s="247"/>
      <c r="BF65" s="247"/>
      <c r="BG65" s="247"/>
      <c r="BH65" s="247"/>
      <c r="BI65" s="247"/>
      <c r="BJ65" s="247"/>
      <c r="BK65" s="247"/>
      <c r="BL65" s="247"/>
      <c r="BM65" s="247"/>
      <c r="BN65" s="247"/>
    </row>
    <row r="66" spans="1:66" ht="12">
      <c r="A66" s="245" t="s">
        <v>107</v>
      </c>
      <c r="B66" s="217">
        <f aca="true" t="shared" si="16" ref="B66:U66">+B64+B65</f>
        <v>0</v>
      </c>
      <c r="C66" s="217">
        <f t="shared" si="16"/>
        <v>0</v>
      </c>
      <c r="D66" s="217">
        <f t="shared" si="16"/>
        <v>0</v>
      </c>
      <c r="E66" s="217">
        <f t="shared" si="16"/>
        <v>3</v>
      </c>
      <c r="F66" s="217">
        <f t="shared" si="16"/>
        <v>2</v>
      </c>
      <c r="G66" s="217">
        <f t="shared" si="16"/>
        <v>0</v>
      </c>
      <c r="H66" s="217">
        <f t="shared" si="16"/>
        <v>1</v>
      </c>
      <c r="I66" s="217">
        <f t="shared" si="16"/>
        <v>1</v>
      </c>
      <c r="J66" s="217">
        <f t="shared" si="16"/>
        <v>0</v>
      </c>
      <c r="K66" s="217">
        <f t="shared" si="16"/>
        <v>0</v>
      </c>
      <c r="L66" s="217">
        <f t="shared" si="16"/>
        <v>0</v>
      </c>
      <c r="M66" s="217">
        <f t="shared" si="16"/>
        <v>0</v>
      </c>
      <c r="N66" s="217">
        <f t="shared" si="16"/>
        <v>0</v>
      </c>
      <c r="O66" s="217">
        <f t="shared" si="16"/>
        <v>1</v>
      </c>
      <c r="P66" s="217">
        <f t="shared" si="16"/>
        <v>0</v>
      </c>
      <c r="Q66" s="217">
        <f t="shared" si="16"/>
        <v>0</v>
      </c>
      <c r="R66" s="217">
        <f t="shared" si="16"/>
        <v>0</v>
      </c>
      <c r="S66" s="217">
        <f t="shared" si="16"/>
        <v>0</v>
      </c>
      <c r="T66" s="217">
        <f t="shared" si="16"/>
        <v>0</v>
      </c>
      <c r="U66" s="217">
        <f t="shared" si="16"/>
        <v>8</v>
      </c>
      <c r="V66" s="158"/>
      <c r="W66" s="150"/>
      <c r="X66" s="150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  <c r="AM66" s="246"/>
      <c r="AN66" s="246"/>
      <c r="AO66" s="246"/>
      <c r="AP66" s="246"/>
      <c r="AQ66" s="246"/>
      <c r="AR66" s="246"/>
      <c r="AS66" s="246"/>
      <c r="AT66" s="246"/>
      <c r="AU66" s="246"/>
      <c r="AV66" s="246"/>
      <c r="AW66" s="246"/>
      <c r="AX66" s="246"/>
      <c r="AY66" s="246"/>
      <c r="AZ66" s="246"/>
      <c r="BA66" s="246"/>
      <c r="BB66" s="246"/>
      <c r="BC66" s="246"/>
      <c r="BD66" s="246"/>
      <c r="BE66" s="246"/>
      <c r="BF66" s="246"/>
      <c r="BG66" s="246"/>
      <c r="BH66" s="246"/>
      <c r="BI66" s="246"/>
      <c r="BJ66" s="246"/>
      <c r="BK66" s="246"/>
      <c r="BL66" s="246"/>
      <c r="BM66" s="246"/>
      <c r="BN66" s="246"/>
    </row>
    <row r="67" spans="1:66" s="250" customFormat="1" ht="12">
      <c r="A67" s="244" t="s">
        <v>109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9"/>
      <c r="S67" s="163"/>
      <c r="T67" s="163"/>
      <c r="U67" s="172"/>
      <c r="V67" s="164"/>
      <c r="W67" s="150"/>
      <c r="X67" s="150"/>
      <c r="Y67" s="249"/>
      <c r="Z67" s="249"/>
      <c r="AA67" s="249"/>
      <c r="AB67" s="249"/>
      <c r="AC67" s="249"/>
      <c r="AD67" s="249"/>
      <c r="AE67" s="249"/>
      <c r="AF67" s="249"/>
      <c r="AG67" s="249"/>
      <c r="AH67" s="249"/>
      <c r="AI67" s="249"/>
      <c r="AJ67" s="249"/>
      <c r="AK67" s="249"/>
      <c r="AL67" s="249"/>
      <c r="AM67" s="249"/>
      <c r="AN67" s="249"/>
      <c r="AO67" s="249"/>
      <c r="AP67" s="249"/>
      <c r="AQ67" s="249"/>
      <c r="AR67" s="249"/>
      <c r="AS67" s="249"/>
      <c r="AT67" s="249"/>
      <c r="AU67" s="249"/>
      <c r="AV67" s="249"/>
      <c r="AW67" s="249"/>
      <c r="AX67" s="249"/>
      <c r="AY67" s="249"/>
      <c r="AZ67" s="249"/>
      <c r="BA67" s="249"/>
      <c r="BB67" s="249"/>
      <c r="BC67" s="249"/>
      <c r="BD67" s="249"/>
      <c r="BE67" s="249"/>
      <c r="BF67" s="249"/>
      <c r="BG67" s="249"/>
      <c r="BH67" s="249"/>
      <c r="BI67" s="249"/>
      <c r="BJ67" s="249"/>
      <c r="BK67" s="249"/>
      <c r="BL67" s="249"/>
      <c r="BM67" s="249"/>
      <c r="BN67" s="249"/>
    </row>
    <row r="68" spans="1:66" ht="13.5" customHeight="1">
      <c r="A68" s="245" t="s">
        <v>105</v>
      </c>
      <c r="B68" s="215">
        <v>309</v>
      </c>
      <c r="C68" s="219">
        <v>46</v>
      </c>
      <c r="D68" s="219">
        <v>106</v>
      </c>
      <c r="E68" s="219">
        <v>275</v>
      </c>
      <c r="F68" s="169">
        <v>2295</v>
      </c>
      <c r="G68" s="253">
        <v>227</v>
      </c>
      <c r="H68" s="253">
        <v>350</v>
      </c>
      <c r="I68" s="169">
        <v>1072</v>
      </c>
      <c r="J68" s="169">
        <v>3473</v>
      </c>
      <c r="K68" s="169">
        <v>1489</v>
      </c>
      <c r="L68" s="169">
        <v>1727</v>
      </c>
      <c r="M68" s="253">
        <v>50</v>
      </c>
      <c r="N68" s="169">
        <v>601</v>
      </c>
      <c r="O68" s="169">
        <v>1542</v>
      </c>
      <c r="P68" s="254">
        <v>1240</v>
      </c>
      <c r="Q68" s="253">
        <v>334</v>
      </c>
      <c r="R68" s="215">
        <v>2131</v>
      </c>
      <c r="S68" s="215">
        <v>137</v>
      </c>
      <c r="T68" s="253">
        <v>436</v>
      </c>
      <c r="U68" s="172">
        <f>SUM(B68:T68)</f>
        <v>17840</v>
      </c>
      <c r="V68" s="167"/>
      <c r="W68" s="167"/>
      <c r="X68" s="167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  <c r="BG68" s="246"/>
      <c r="BH68" s="246"/>
      <c r="BI68" s="246"/>
      <c r="BJ68" s="246"/>
      <c r="BK68" s="246"/>
      <c r="BL68" s="246"/>
      <c r="BM68" s="246"/>
      <c r="BN68" s="246"/>
    </row>
    <row r="69" spans="1:38" ht="12">
      <c r="A69" s="245" t="s">
        <v>115</v>
      </c>
      <c r="B69" s="215">
        <v>144</v>
      </c>
      <c r="C69" s="219">
        <v>8</v>
      </c>
      <c r="D69" s="219">
        <v>19</v>
      </c>
      <c r="E69" s="219">
        <v>228</v>
      </c>
      <c r="F69" s="169">
        <v>1109</v>
      </c>
      <c r="G69" s="253">
        <v>56</v>
      </c>
      <c r="H69" s="169">
        <v>368</v>
      </c>
      <c r="I69" s="169">
        <v>408</v>
      </c>
      <c r="J69" s="169">
        <v>1739</v>
      </c>
      <c r="K69" s="253">
        <v>623</v>
      </c>
      <c r="L69" s="253">
        <v>272</v>
      </c>
      <c r="M69" s="253">
        <v>18</v>
      </c>
      <c r="N69" s="169">
        <v>160</v>
      </c>
      <c r="O69" s="254">
        <v>1011</v>
      </c>
      <c r="P69" s="169">
        <v>503</v>
      </c>
      <c r="Q69" s="253">
        <v>18</v>
      </c>
      <c r="R69" s="215">
        <v>870</v>
      </c>
      <c r="S69" s="215">
        <v>38</v>
      </c>
      <c r="T69" s="253">
        <v>34</v>
      </c>
      <c r="U69" s="172">
        <f>SUM(B69:T69)</f>
        <v>7626</v>
      </c>
      <c r="V69" s="167"/>
      <c r="W69" s="167"/>
      <c r="X69" s="167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</row>
    <row r="70" spans="1:66" ht="12">
      <c r="A70" s="245" t="s">
        <v>107</v>
      </c>
      <c r="B70" s="217">
        <f aca="true" t="shared" si="17" ref="B70:U70">+B68+B69</f>
        <v>453</v>
      </c>
      <c r="C70" s="217">
        <f t="shared" si="17"/>
        <v>54</v>
      </c>
      <c r="D70" s="217">
        <f t="shared" si="17"/>
        <v>125</v>
      </c>
      <c r="E70" s="217">
        <f t="shared" si="17"/>
        <v>503</v>
      </c>
      <c r="F70" s="217">
        <f t="shared" si="17"/>
        <v>3404</v>
      </c>
      <c r="G70" s="217">
        <f t="shared" si="17"/>
        <v>283</v>
      </c>
      <c r="H70" s="217">
        <f>+H68+H69</f>
        <v>718</v>
      </c>
      <c r="I70" s="217">
        <f t="shared" si="17"/>
        <v>1480</v>
      </c>
      <c r="J70" s="217">
        <f t="shared" si="17"/>
        <v>5212</v>
      </c>
      <c r="K70" s="217">
        <f t="shared" si="17"/>
        <v>2112</v>
      </c>
      <c r="L70" s="217">
        <f t="shared" si="17"/>
        <v>1999</v>
      </c>
      <c r="M70" s="217">
        <f t="shared" si="17"/>
        <v>68</v>
      </c>
      <c r="N70" s="217">
        <f t="shared" si="17"/>
        <v>761</v>
      </c>
      <c r="O70" s="217">
        <f t="shared" si="17"/>
        <v>2553</v>
      </c>
      <c r="P70" s="217">
        <f t="shared" si="17"/>
        <v>1743</v>
      </c>
      <c r="Q70" s="217">
        <f t="shared" si="17"/>
        <v>352</v>
      </c>
      <c r="R70" s="217">
        <f t="shared" si="17"/>
        <v>3001</v>
      </c>
      <c r="S70" s="217">
        <f t="shared" si="17"/>
        <v>175</v>
      </c>
      <c r="T70" s="217">
        <f t="shared" si="17"/>
        <v>470</v>
      </c>
      <c r="U70" s="217">
        <f t="shared" si="17"/>
        <v>25466</v>
      </c>
      <c r="V70" s="158"/>
      <c r="W70" s="150"/>
      <c r="X70" s="150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246"/>
      <c r="AM70" s="246"/>
      <c r="AN70" s="246"/>
      <c r="AO70" s="246"/>
      <c r="AP70" s="246"/>
      <c r="AQ70" s="246"/>
      <c r="AR70" s="246"/>
      <c r="AS70" s="246"/>
      <c r="AT70" s="246"/>
      <c r="AU70" s="246"/>
      <c r="AV70" s="246"/>
      <c r="AW70" s="246"/>
      <c r="AX70" s="246"/>
      <c r="AY70" s="246"/>
      <c r="AZ70" s="246"/>
      <c r="BA70" s="246"/>
      <c r="BB70" s="246"/>
      <c r="BC70" s="246"/>
      <c r="BD70" s="246"/>
      <c r="BE70" s="246"/>
      <c r="BF70" s="246"/>
      <c r="BG70" s="246"/>
      <c r="BH70" s="246"/>
      <c r="BI70" s="246"/>
      <c r="BJ70" s="246"/>
      <c r="BK70" s="246"/>
      <c r="BL70" s="246"/>
      <c r="BM70" s="246"/>
      <c r="BN70" s="246"/>
    </row>
    <row r="71" spans="1:38" ht="24">
      <c r="A71" s="244" t="s">
        <v>117</v>
      </c>
      <c r="B71" s="169"/>
      <c r="C71" s="170"/>
      <c r="D71" s="170"/>
      <c r="E71" s="170"/>
      <c r="F71" s="169"/>
      <c r="G71" s="169"/>
      <c r="H71" s="171"/>
      <c r="I71" s="169"/>
      <c r="J71" s="172"/>
      <c r="K71" s="170"/>
      <c r="L71" s="172"/>
      <c r="M71" s="172"/>
      <c r="N71" s="170"/>
      <c r="O71" s="169"/>
      <c r="P71" s="172"/>
      <c r="Q71" s="170"/>
      <c r="R71" s="169"/>
      <c r="S71" s="169"/>
      <c r="T71" s="169"/>
      <c r="U71" s="172"/>
      <c r="V71" s="171"/>
      <c r="W71" s="171"/>
      <c r="X71" s="171"/>
      <c r="Y71" s="246"/>
      <c r="Z71" s="246"/>
      <c r="AA71" s="246"/>
      <c r="AB71" s="246"/>
      <c r="AC71" s="246"/>
      <c r="AD71" s="246"/>
      <c r="AE71" s="246"/>
      <c r="AF71" s="246"/>
      <c r="AG71" s="246"/>
      <c r="AH71" s="246"/>
      <c r="AI71" s="246"/>
      <c r="AJ71" s="246"/>
      <c r="AK71" s="246"/>
      <c r="AL71" s="246"/>
    </row>
    <row r="72" spans="1:38" ht="12">
      <c r="A72" s="245" t="s">
        <v>105</v>
      </c>
      <c r="B72" s="215">
        <v>70</v>
      </c>
      <c r="C72" s="219"/>
      <c r="D72" s="219">
        <v>48</v>
      </c>
      <c r="E72" s="219">
        <v>196</v>
      </c>
      <c r="F72" s="169">
        <v>725</v>
      </c>
      <c r="G72" s="253">
        <v>25</v>
      </c>
      <c r="H72" s="254">
        <v>84</v>
      </c>
      <c r="I72" s="169">
        <v>507</v>
      </c>
      <c r="J72" s="254">
        <v>1563</v>
      </c>
      <c r="K72" s="253">
        <v>321</v>
      </c>
      <c r="L72" s="253">
        <v>58</v>
      </c>
      <c r="M72" s="253">
        <v>43</v>
      </c>
      <c r="N72" s="169">
        <v>497</v>
      </c>
      <c r="O72" s="169">
        <v>504</v>
      </c>
      <c r="P72" s="253">
        <v>555</v>
      </c>
      <c r="Q72" s="253">
        <v>87</v>
      </c>
      <c r="R72" s="215">
        <v>631</v>
      </c>
      <c r="S72" s="215">
        <v>194</v>
      </c>
      <c r="T72" s="253">
        <v>169</v>
      </c>
      <c r="U72" s="172">
        <f>SUM(B72:T72)</f>
        <v>6277</v>
      </c>
      <c r="V72" s="150"/>
      <c r="W72" s="150"/>
      <c r="X72" s="150"/>
      <c r="Y72" s="246"/>
      <c r="Z72" s="246"/>
      <c r="AA72" s="246"/>
      <c r="AB72" s="246"/>
      <c r="AC72" s="246"/>
      <c r="AD72" s="246"/>
      <c r="AE72" s="246"/>
      <c r="AF72" s="246"/>
      <c r="AG72" s="246"/>
      <c r="AH72" s="246"/>
      <c r="AI72" s="246"/>
      <c r="AJ72" s="246"/>
      <c r="AK72" s="246"/>
      <c r="AL72" s="246"/>
    </row>
    <row r="73" spans="1:38" ht="12">
      <c r="A73" s="245" t="s">
        <v>115</v>
      </c>
      <c r="B73" s="215">
        <v>14</v>
      </c>
      <c r="C73" s="219"/>
      <c r="D73" s="219">
        <v>1</v>
      </c>
      <c r="E73" s="219">
        <v>37</v>
      </c>
      <c r="F73" s="169">
        <v>161</v>
      </c>
      <c r="G73" s="253">
        <v>4</v>
      </c>
      <c r="H73" s="169">
        <v>123</v>
      </c>
      <c r="I73" s="169">
        <v>180</v>
      </c>
      <c r="J73" s="169">
        <v>601</v>
      </c>
      <c r="K73" s="253">
        <v>90</v>
      </c>
      <c r="L73" s="253">
        <v>6</v>
      </c>
      <c r="M73" s="253">
        <v>9</v>
      </c>
      <c r="N73" s="169">
        <v>104</v>
      </c>
      <c r="O73" s="253">
        <v>211</v>
      </c>
      <c r="P73" s="169">
        <v>107</v>
      </c>
      <c r="Q73" s="253">
        <v>3</v>
      </c>
      <c r="R73" s="215">
        <v>250</v>
      </c>
      <c r="S73" s="215">
        <v>18</v>
      </c>
      <c r="T73" s="253">
        <v>21</v>
      </c>
      <c r="U73" s="172">
        <f>SUM(B73:T73)</f>
        <v>1940</v>
      </c>
      <c r="V73" s="164"/>
      <c r="W73" s="164"/>
      <c r="X73" s="164"/>
      <c r="Y73" s="246"/>
      <c r="Z73" s="246"/>
      <c r="AA73" s="246"/>
      <c r="AB73" s="246"/>
      <c r="AC73" s="246"/>
      <c r="AD73" s="246"/>
      <c r="AE73" s="246"/>
      <c r="AF73" s="246"/>
      <c r="AG73" s="246"/>
      <c r="AH73" s="246"/>
      <c r="AI73" s="246"/>
      <c r="AJ73" s="246"/>
      <c r="AK73" s="246"/>
      <c r="AL73" s="246"/>
    </row>
    <row r="74" spans="1:66" ht="12">
      <c r="A74" s="245" t="s">
        <v>107</v>
      </c>
      <c r="B74" s="217">
        <f aca="true" t="shared" si="18" ref="B74:U74">+B72+B73</f>
        <v>84</v>
      </c>
      <c r="C74" s="217">
        <f t="shared" si="18"/>
        <v>0</v>
      </c>
      <c r="D74" s="217">
        <f t="shared" si="18"/>
        <v>49</v>
      </c>
      <c r="E74" s="217">
        <f t="shared" si="18"/>
        <v>233</v>
      </c>
      <c r="F74" s="217">
        <f t="shared" si="18"/>
        <v>886</v>
      </c>
      <c r="G74" s="217">
        <f t="shared" si="18"/>
        <v>29</v>
      </c>
      <c r="H74" s="217">
        <f t="shared" si="18"/>
        <v>207</v>
      </c>
      <c r="I74" s="217">
        <f t="shared" si="18"/>
        <v>687</v>
      </c>
      <c r="J74" s="217">
        <f t="shared" si="18"/>
        <v>2164</v>
      </c>
      <c r="K74" s="217">
        <f t="shared" si="18"/>
        <v>411</v>
      </c>
      <c r="L74" s="217">
        <f t="shared" si="18"/>
        <v>64</v>
      </c>
      <c r="M74" s="217">
        <f t="shared" si="18"/>
        <v>52</v>
      </c>
      <c r="N74" s="217">
        <f t="shared" si="18"/>
        <v>601</v>
      </c>
      <c r="O74" s="217">
        <f t="shared" si="18"/>
        <v>715</v>
      </c>
      <c r="P74" s="217">
        <f t="shared" si="18"/>
        <v>662</v>
      </c>
      <c r="Q74" s="217">
        <f t="shared" si="18"/>
        <v>90</v>
      </c>
      <c r="R74" s="217">
        <f t="shared" si="18"/>
        <v>881</v>
      </c>
      <c r="S74" s="217">
        <f t="shared" si="18"/>
        <v>212</v>
      </c>
      <c r="T74" s="217">
        <f t="shared" si="18"/>
        <v>190</v>
      </c>
      <c r="U74" s="217">
        <f t="shared" si="18"/>
        <v>8217</v>
      </c>
      <c r="V74" s="158"/>
      <c r="W74" s="150"/>
      <c r="X74" s="150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  <c r="AN74" s="246"/>
      <c r="AO74" s="246"/>
      <c r="AP74" s="246"/>
      <c r="AQ74" s="246"/>
      <c r="AR74" s="246"/>
      <c r="AS74" s="246"/>
      <c r="AT74" s="246"/>
      <c r="AU74" s="246"/>
      <c r="AV74" s="246"/>
      <c r="AW74" s="246"/>
      <c r="AX74" s="246"/>
      <c r="AY74" s="246"/>
      <c r="AZ74" s="246"/>
      <c r="BA74" s="246"/>
      <c r="BB74" s="246"/>
      <c r="BC74" s="246"/>
      <c r="BD74" s="246"/>
      <c r="BE74" s="246"/>
      <c r="BF74" s="246"/>
      <c r="BG74" s="246"/>
      <c r="BH74" s="246"/>
      <c r="BI74" s="246"/>
      <c r="BJ74" s="246"/>
      <c r="BK74" s="246"/>
      <c r="BL74" s="246"/>
      <c r="BM74" s="246"/>
      <c r="BN74" s="246"/>
    </row>
    <row r="75" spans="1:38" ht="12">
      <c r="A75" s="244" t="s">
        <v>111</v>
      </c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72"/>
      <c r="V75" s="163"/>
      <c r="W75" s="163"/>
      <c r="X75" s="163"/>
      <c r="Y75" s="246"/>
      <c r="Z75" s="246"/>
      <c r="AA75" s="246"/>
      <c r="AB75" s="246"/>
      <c r="AC75" s="246"/>
      <c r="AD75" s="246"/>
      <c r="AE75" s="246"/>
      <c r="AF75" s="246"/>
      <c r="AG75" s="246"/>
      <c r="AH75" s="246"/>
      <c r="AI75" s="246"/>
      <c r="AJ75" s="246"/>
      <c r="AK75" s="246"/>
      <c r="AL75" s="246"/>
    </row>
    <row r="76" spans="1:38" ht="12">
      <c r="A76" s="245" t="s">
        <v>105</v>
      </c>
      <c r="B76" s="215"/>
      <c r="C76" s="219">
        <v>303</v>
      </c>
      <c r="D76" s="219"/>
      <c r="E76" s="219"/>
      <c r="F76" s="169"/>
      <c r="G76" s="254">
        <v>1848</v>
      </c>
      <c r="H76" s="254">
        <v>2928</v>
      </c>
      <c r="I76" s="169">
        <v>387</v>
      </c>
      <c r="J76" s="253"/>
      <c r="K76" s="253"/>
      <c r="L76" s="254">
        <v>1392</v>
      </c>
      <c r="M76" s="253">
        <v>558</v>
      </c>
      <c r="N76" s="169"/>
      <c r="O76" s="169"/>
      <c r="P76" s="253"/>
      <c r="Q76" s="253"/>
      <c r="R76" s="215"/>
      <c r="S76" s="215"/>
      <c r="T76" s="253"/>
      <c r="U76" s="172">
        <f>SUM(B76:T76)</f>
        <v>7416</v>
      </c>
      <c r="V76" s="177"/>
      <c r="W76" s="177"/>
      <c r="X76" s="177"/>
      <c r="Y76" s="246"/>
      <c r="Z76" s="246"/>
      <c r="AA76" s="246"/>
      <c r="AB76" s="246"/>
      <c r="AC76" s="246"/>
      <c r="AD76" s="246"/>
      <c r="AE76" s="246"/>
      <c r="AF76" s="246"/>
      <c r="AG76" s="246"/>
      <c r="AH76" s="246"/>
      <c r="AI76" s="246"/>
      <c r="AJ76" s="246"/>
      <c r="AK76" s="246"/>
      <c r="AL76" s="246"/>
    </row>
    <row r="77" spans="1:38" ht="12">
      <c r="A77" s="245" t="s">
        <v>115</v>
      </c>
      <c r="B77" s="215"/>
      <c r="C77" s="219">
        <v>22</v>
      </c>
      <c r="D77" s="219"/>
      <c r="E77" s="219"/>
      <c r="F77" s="169"/>
      <c r="G77" s="253">
        <v>216</v>
      </c>
      <c r="H77" s="169">
        <v>655</v>
      </c>
      <c r="I77" s="169">
        <v>227</v>
      </c>
      <c r="J77" s="169"/>
      <c r="K77" s="253"/>
      <c r="L77" s="253">
        <v>203</v>
      </c>
      <c r="M77" s="253">
        <v>235</v>
      </c>
      <c r="N77" s="169"/>
      <c r="O77" s="253"/>
      <c r="P77" s="169"/>
      <c r="Q77" s="253"/>
      <c r="R77" s="215"/>
      <c r="S77" s="215"/>
      <c r="T77" s="253"/>
      <c r="U77" s="172">
        <f>SUM(B77:T77)</f>
        <v>1558</v>
      </c>
      <c r="V77" s="150"/>
      <c r="W77" s="150"/>
      <c r="X77" s="150"/>
      <c r="Y77" s="246"/>
      <c r="Z77" s="246"/>
      <c r="AA77" s="246"/>
      <c r="AB77" s="246"/>
      <c r="AC77" s="246"/>
      <c r="AD77" s="246"/>
      <c r="AE77" s="246"/>
      <c r="AF77" s="246"/>
      <c r="AG77" s="246"/>
      <c r="AH77" s="246"/>
      <c r="AI77" s="246"/>
      <c r="AJ77" s="246"/>
      <c r="AK77" s="246"/>
      <c r="AL77" s="246"/>
    </row>
    <row r="78" spans="1:66" ht="12">
      <c r="A78" s="245" t="s">
        <v>107</v>
      </c>
      <c r="B78" s="217">
        <f aca="true" t="shared" si="19" ref="B78:U78">+B76+B77</f>
        <v>0</v>
      </c>
      <c r="C78" s="217">
        <f t="shared" si="19"/>
        <v>325</v>
      </c>
      <c r="D78" s="217">
        <f t="shared" si="19"/>
        <v>0</v>
      </c>
      <c r="E78" s="217">
        <f t="shared" si="19"/>
        <v>0</v>
      </c>
      <c r="F78" s="217">
        <f t="shared" si="19"/>
        <v>0</v>
      </c>
      <c r="G78" s="217">
        <f t="shared" si="19"/>
        <v>2064</v>
      </c>
      <c r="H78" s="217">
        <f t="shared" si="19"/>
        <v>3583</v>
      </c>
      <c r="I78" s="217">
        <f t="shared" si="19"/>
        <v>614</v>
      </c>
      <c r="J78" s="217">
        <f t="shared" si="19"/>
        <v>0</v>
      </c>
      <c r="K78" s="217">
        <f t="shared" si="19"/>
        <v>0</v>
      </c>
      <c r="L78" s="217">
        <f t="shared" si="19"/>
        <v>1595</v>
      </c>
      <c r="M78" s="217">
        <f t="shared" si="19"/>
        <v>793</v>
      </c>
      <c r="N78" s="217">
        <f t="shared" si="19"/>
        <v>0</v>
      </c>
      <c r="O78" s="217">
        <f t="shared" si="19"/>
        <v>0</v>
      </c>
      <c r="P78" s="217">
        <f t="shared" si="19"/>
        <v>0</v>
      </c>
      <c r="Q78" s="217">
        <f t="shared" si="19"/>
        <v>0</v>
      </c>
      <c r="R78" s="217">
        <f t="shared" si="19"/>
        <v>0</v>
      </c>
      <c r="S78" s="217">
        <f t="shared" si="19"/>
        <v>0</v>
      </c>
      <c r="T78" s="217">
        <f t="shared" si="19"/>
        <v>0</v>
      </c>
      <c r="U78" s="217">
        <f t="shared" si="19"/>
        <v>8974</v>
      </c>
      <c r="V78" s="158"/>
      <c r="W78" s="150"/>
      <c r="X78" s="150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  <c r="AO78" s="246"/>
      <c r="AP78" s="246"/>
      <c r="AQ78" s="246"/>
      <c r="AR78" s="246"/>
      <c r="AS78" s="246"/>
      <c r="AT78" s="246"/>
      <c r="AU78" s="246"/>
      <c r="AV78" s="246"/>
      <c r="AW78" s="246"/>
      <c r="AX78" s="246"/>
      <c r="AY78" s="246"/>
      <c r="AZ78" s="246"/>
      <c r="BA78" s="246"/>
      <c r="BB78" s="246"/>
      <c r="BC78" s="246"/>
      <c r="BD78" s="246"/>
      <c r="BE78" s="246"/>
      <c r="BF78" s="246"/>
      <c r="BG78" s="246"/>
      <c r="BH78" s="246"/>
      <c r="BI78" s="246"/>
      <c r="BJ78" s="246"/>
      <c r="BK78" s="246"/>
      <c r="BL78" s="246"/>
      <c r="BM78" s="246"/>
      <c r="BN78" s="246"/>
    </row>
    <row r="79" spans="1:38" ht="12">
      <c r="A79" s="244" t="s">
        <v>112</v>
      </c>
      <c r="B79" s="216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51"/>
      <c r="V79" s="150"/>
      <c r="W79" s="150"/>
      <c r="X79" s="150"/>
      <c r="Y79" s="246"/>
      <c r="Z79" s="246"/>
      <c r="AA79" s="246"/>
      <c r="AB79" s="246"/>
      <c r="AC79" s="246"/>
      <c r="AD79" s="246"/>
      <c r="AE79" s="246"/>
      <c r="AF79" s="246"/>
      <c r="AG79" s="246"/>
      <c r="AH79" s="246"/>
      <c r="AI79" s="246"/>
      <c r="AJ79" s="246"/>
      <c r="AK79" s="246"/>
      <c r="AL79" s="246"/>
    </row>
    <row r="80" spans="1:24" ht="12">
      <c r="A80" s="245" t="s">
        <v>105</v>
      </c>
      <c r="B80" s="223">
        <f>+B76+B72+B68+B64+B60</f>
        <v>379</v>
      </c>
      <c r="C80" s="223">
        <f>+C76+C72+C68+C64+C60</f>
        <v>349</v>
      </c>
      <c r="D80" s="223">
        <f aca="true" t="shared" si="20" ref="D80:U80">+D76+D72+D68+D64+D60</f>
        <v>154</v>
      </c>
      <c r="E80" s="223">
        <f t="shared" si="20"/>
        <v>471</v>
      </c>
      <c r="F80" s="223">
        <f t="shared" si="20"/>
        <v>3020</v>
      </c>
      <c r="G80" s="223">
        <f t="shared" si="20"/>
        <v>2111</v>
      </c>
      <c r="H80" s="223">
        <f t="shared" si="20"/>
        <v>3362</v>
      </c>
      <c r="I80" s="223">
        <f t="shared" si="20"/>
        <v>1966</v>
      </c>
      <c r="J80" s="223">
        <f t="shared" si="20"/>
        <v>5036</v>
      </c>
      <c r="K80" s="223">
        <f t="shared" si="20"/>
        <v>1810</v>
      </c>
      <c r="L80" s="223">
        <f t="shared" si="20"/>
        <v>3179</v>
      </c>
      <c r="M80" s="223">
        <f t="shared" si="20"/>
        <v>651</v>
      </c>
      <c r="N80" s="223">
        <f t="shared" si="20"/>
        <v>1098</v>
      </c>
      <c r="O80" s="223">
        <f t="shared" si="20"/>
        <v>2836</v>
      </c>
      <c r="P80" s="223">
        <f t="shared" si="20"/>
        <v>1796</v>
      </c>
      <c r="Q80" s="223">
        <f t="shared" si="20"/>
        <v>422</v>
      </c>
      <c r="R80" s="223">
        <f t="shared" si="20"/>
        <v>2762</v>
      </c>
      <c r="S80" s="223">
        <f t="shared" si="20"/>
        <v>331</v>
      </c>
      <c r="T80" s="223">
        <f t="shared" si="20"/>
        <v>605</v>
      </c>
      <c r="U80" s="223">
        <f t="shared" si="20"/>
        <v>32338</v>
      </c>
      <c r="V80" s="181"/>
      <c r="W80" s="181"/>
      <c r="X80" s="181"/>
    </row>
    <row r="81" spans="1:24" ht="12">
      <c r="A81" s="245" t="s">
        <v>115</v>
      </c>
      <c r="B81" s="223">
        <f>+B77+B73+B69+B65+B61</f>
        <v>178</v>
      </c>
      <c r="C81" s="223">
        <f aca="true" t="shared" si="21" ref="C81:U81">+C77+C73+C69+C65+C61</f>
        <v>30</v>
      </c>
      <c r="D81" s="223">
        <f t="shared" si="21"/>
        <v>22</v>
      </c>
      <c r="E81" s="223">
        <f t="shared" si="21"/>
        <v>367</v>
      </c>
      <c r="F81" s="223">
        <f t="shared" si="21"/>
        <v>1414</v>
      </c>
      <c r="G81" s="223">
        <f t="shared" si="21"/>
        <v>382</v>
      </c>
      <c r="H81" s="223">
        <f t="shared" si="21"/>
        <v>1768</v>
      </c>
      <c r="I81" s="223">
        <f t="shared" si="21"/>
        <v>926</v>
      </c>
      <c r="J81" s="223">
        <f t="shared" si="21"/>
        <v>2994</v>
      </c>
      <c r="K81" s="223">
        <f t="shared" si="21"/>
        <v>866</v>
      </c>
      <c r="L81" s="223">
        <f t="shared" si="21"/>
        <v>533</v>
      </c>
      <c r="M81" s="223">
        <f t="shared" si="21"/>
        <v>298</v>
      </c>
      <c r="N81" s="223">
        <f t="shared" si="21"/>
        <v>339</v>
      </c>
      <c r="O81" s="223">
        <f t="shared" si="21"/>
        <v>1873</v>
      </c>
      <c r="P81" s="223">
        <f t="shared" si="21"/>
        <v>733</v>
      </c>
      <c r="Q81" s="223">
        <f t="shared" si="21"/>
        <v>71</v>
      </c>
      <c r="R81" s="223">
        <f t="shared" si="21"/>
        <v>1388</v>
      </c>
      <c r="S81" s="223">
        <f t="shared" si="21"/>
        <v>68</v>
      </c>
      <c r="T81" s="223">
        <f t="shared" si="21"/>
        <v>61</v>
      </c>
      <c r="U81" s="223">
        <f t="shared" si="21"/>
        <v>14311</v>
      </c>
      <c r="V81" s="181"/>
      <c r="W81" s="181"/>
      <c r="X81" s="181"/>
    </row>
    <row r="82" spans="1:66" ht="12">
      <c r="A82" s="255" t="s">
        <v>107</v>
      </c>
      <c r="B82" s="221">
        <f aca="true" t="shared" si="22" ref="B82:U82">+B80+B81</f>
        <v>557</v>
      </c>
      <c r="C82" s="221">
        <f>+C80+C81</f>
        <v>379</v>
      </c>
      <c r="D82" s="221">
        <f t="shared" si="22"/>
        <v>176</v>
      </c>
      <c r="E82" s="221">
        <f t="shared" si="22"/>
        <v>838</v>
      </c>
      <c r="F82" s="221">
        <f t="shared" si="22"/>
        <v>4434</v>
      </c>
      <c r="G82" s="221">
        <f t="shared" si="22"/>
        <v>2493</v>
      </c>
      <c r="H82" s="221">
        <f t="shared" si="22"/>
        <v>5130</v>
      </c>
      <c r="I82" s="221">
        <f t="shared" si="22"/>
        <v>2892</v>
      </c>
      <c r="J82" s="221">
        <f t="shared" si="22"/>
        <v>8030</v>
      </c>
      <c r="K82" s="221">
        <f t="shared" si="22"/>
        <v>2676</v>
      </c>
      <c r="L82" s="221">
        <f t="shared" si="22"/>
        <v>3712</v>
      </c>
      <c r="M82" s="221">
        <f t="shared" si="22"/>
        <v>949</v>
      </c>
      <c r="N82" s="221">
        <f t="shared" si="22"/>
        <v>1437</v>
      </c>
      <c r="O82" s="221">
        <f t="shared" si="22"/>
        <v>4709</v>
      </c>
      <c r="P82" s="221">
        <f t="shared" si="22"/>
        <v>2529</v>
      </c>
      <c r="Q82" s="221">
        <f t="shared" si="22"/>
        <v>493</v>
      </c>
      <c r="R82" s="221">
        <f t="shared" si="22"/>
        <v>4150</v>
      </c>
      <c r="S82" s="221">
        <f t="shared" si="22"/>
        <v>399</v>
      </c>
      <c r="T82" s="221">
        <f t="shared" si="22"/>
        <v>666</v>
      </c>
      <c r="U82" s="221">
        <f t="shared" si="22"/>
        <v>46649</v>
      </c>
      <c r="V82" s="158"/>
      <c r="W82" s="150"/>
      <c r="X82" s="150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/>
      <c r="AJ82" s="246"/>
      <c r="AK82" s="246"/>
      <c r="AL82" s="246"/>
      <c r="AM82" s="246"/>
      <c r="AN82" s="246"/>
      <c r="AO82" s="246"/>
      <c r="AP82" s="246"/>
      <c r="AQ82" s="246"/>
      <c r="AR82" s="246"/>
      <c r="AS82" s="246"/>
      <c r="AT82" s="246"/>
      <c r="AU82" s="246"/>
      <c r="AV82" s="246"/>
      <c r="AW82" s="246"/>
      <c r="AX82" s="246"/>
      <c r="AY82" s="246"/>
      <c r="AZ82" s="246"/>
      <c r="BA82" s="246"/>
      <c r="BB82" s="246"/>
      <c r="BC82" s="246"/>
      <c r="BD82" s="246"/>
      <c r="BE82" s="246"/>
      <c r="BF82" s="246"/>
      <c r="BG82" s="246"/>
      <c r="BH82" s="246"/>
      <c r="BI82" s="246"/>
      <c r="BJ82" s="246"/>
      <c r="BK82" s="246"/>
      <c r="BL82" s="246"/>
      <c r="BM82" s="246"/>
      <c r="BN82" s="246"/>
    </row>
    <row r="83" spans="1:24" ht="12">
      <c r="A83" s="256" t="s">
        <v>113</v>
      </c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4"/>
      <c r="V83" s="187"/>
      <c r="W83" s="187"/>
      <c r="X83" s="187"/>
    </row>
    <row r="84" spans="1:24" ht="12">
      <c r="A84" s="257" t="s">
        <v>66</v>
      </c>
      <c r="B84" s="258"/>
      <c r="C84" s="223"/>
      <c r="D84" s="258"/>
      <c r="E84" s="223"/>
      <c r="F84" s="258"/>
      <c r="G84" s="258"/>
      <c r="H84" s="258"/>
      <c r="I84" s="258"/>
      <c r="J84" s="258"/>
      <c r="K84" s="223"/>
      <c r="L84" s="258"/>
      <c r="M84" s="258"/>
      <c r="N84" s="223"/>
      <c r="O84" s="258"/>
      <c r="P84" s="258"/>
      <c r="Q84" s="223"/>
      <c r="R84" s="258"/>
      <c r="S84" s="258"/>
      <c r="T84" s="258"/>
      <c r="U84" s="224"/>
      <c r="V84" s="190"/>
      <c r="W84" s="190"/>
      <c r="X84" s="190"/>
    </row>
    <row r="85" spans="1:24" ht="12">
      <c r="A85" s="259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192"/>
      <c r="W85" s="192"/>
      <c r="X85" s="192"/>
    </row>
    <row r="86" spans="1:24" ht="12">
      <c r="A86" s="260"/>
      <c r="B86" s="200"/>
      <c r="C86" s="225"/>
      <c r="D86" s="225"/>
      <c r="E86" s="225"/>
      <c r="F86" s="200"/>
      <c r="G86" s="200"/>
      <c r="H86" s="200"/>
      <c r="I86" s="200"/>
      <c r="J86" s="200"/>
      <c r="K86" s="225"/>
      <c r="L86" s="200"/>
      <c r="M86" s="200"/>
      <c r="N86" s="225"/>
      <c r="O86" s="200"/>
      <c r="P86" s="200"/>
      <c r="Q86" s="225"/>
      <c r="R86" s="200"/>
      <c r="S86" s="200"/>
      <c r="T86" s="200"/>
      <c r="U86" s="224"/>
      <c r="V86" s="200"/>
      <c r="W86" s="200"/>
      <c r="X86" s="200"/>
    </row>
    <row r="87" spans="1:24" ht="12">
      <c r="A87" s="260"/>
      <c r="B87" s="200"/>
      <c r="C87" s="225"/>
      <c r="D87" s="225"/>
      <c r="E87" s="225"/>
      <c r="F87" s="200"/>
      <c r="G87" s="200"/>
      <c r="H87" s="200"/>
      <c r="I87" s="200"/>
      <c r="J87" s="200"/>
      <c r="K87" s="225"/>
      <c r="L87" s="200"/>
      <c r="M87" s="200"/>
      <c r="N87" s="225"/>
      <c r="O87" s="200"/>
      <c r="P87" s="200"/>
      <c r="Q87" s="225"/>
      <c r="R87" s="200"/>
      <c r="S87" s="200"/>
      <c r="T87" s="200"/>
      <c r="U87" s="224"/>
      <c r="V87" s="200"/>
      <c r="W87" s="200"/>
      <c r="X87" s="200"/>
    </row>
    <row r="88" spans="1:24" ht="12">
      <c r="A88" s="260"/>
      <c r="B88" s="200"/>
      <c r="C88" s="225"/>
      <c r="D88" s="225"/>
      <c r="E88" s="225"/>
      <c r="F88" s="200"/>
      <c r="G88" s="200"/>
      <c r="H88" s="200"/>
      <c r="I88" s="200"/>
      <c r="J88" s="200"/>
      <c r="K88" s="225"/>
      <c r="L88" s="200"/>
      <c r="M88" s="200"/>
      <c r="N88" s="225"/>
      <c r="O88" s="200"/>
      <c r="P88" s="200"/>
      <c r="Q88" s="225"/>
      <c r="R88" s="200"/>
      <c r="S88" s="200"/>
      <c r="T88" s="200"/>
      <c r="U88" s="224"/>
      <c r="V88" s="200"/>
      <c r="W88" s="200"/>
      <c r="X88" s="200"/>
    </row>
    <row r="89" spans="1:24" ht="12">
      <c r="A89" s="260"/>
      <c r="B89" s="200"/>
      <c r="C89" s="225"/>
      <c r="D89" s="225"/>
      <c r="E89" s="225"/>
      <c r="F89" s="200"/>
      <c r="G89" s="200"/>
      <c r="H89" s="200"/>
      <c r="I89" s="200"/>
      <c r="J89" s="200"/>
      <c r="K89" s="225"/>
      <c r="L89" s="200"/>
      <c r="M89" s="200"/>
      <c r="N89" s="225"/>
      <c r="O89" s="200"/>
      <c r="P89" s="200"/>
      <c r="Q89" s="225"/>
      <c r="R89" s="200"/>
      <c r="S89" s="200"/>
      <c r="T89" s="200"/>
      <c r="U89" s="224"/>
      <c r="V89" s="200"/>
      <c r="W89" s="200"/>
      <c r="X89" s="200"/>
    </row>
    <row r="90" spans="1:24" ht="12">
      <c r="A90" s="260"/>
      <c r="B90" s="200"/>
      <c r="C90" s="225"/>
      <c r="D90" s="225"/>
      <c r="E90" s="225"/>
      <c r="F90" s="200"/>
      <c r="G90" s="200"/>
      <c r="H90" s="200"/>
      <c r="I90" s="200"/>
      <c r="J90" s="225"/>
      <c r="K90" s="225"/>
      <c r="L90" s="200"/>
      <c r="M90" s="200"/>
      <c r="N90" s="225"/>
      <c r="O90" s="200"/>
      <c r="P90" s="200"/>
      <c r="Q90" s="225"/>
      <c r="R90" s="200"/>
      <c r="S90" s="200"/>
      <c r="T90" s="200"/>
      <c r="U90" s="224"/>
      <c r="V90" s="200"/>
      <c r="W90" s="200"/>
      <c r="X90" s="200"/>
    </row>
    <row r="91" spans="1:24" ht="12">
      <c r="A91" s="260"/>
      <c r="B91" s="200"/>
      <c r="C91" s="225"/>
      <c r="D91" s="200"/>
      <c r="E91" s="225"/>
      <c r="F91" s="200"/>
      <c r="G91" s="200"/>
      <c r="H91" s="200"/>
      <c r="I91" s="200"/>
      <c r="J91" s="200"/>
      <c r="K91" s="225"/>
      <c r="L91" s="200"/>
      <c r="M91" s="200"/>
      <c r="N91" s="225"/>
      <c r="O91" s="200"/>
      <c r="P91" s="200"/>
      <c r="Q91" s="225"/>
      <c r="R91" s="200"/>
      <c r="S91" s="200"/>
      <c r="T91" s="200"/>
      <c r="U91" s="224"/>
      <c r="V91" s="200"/>
      <c r="W91" s="200"/>
      <c r="X91" s="200"/>
    </row>
    <row r="92" spans="1:24" ht="12">
      <c r="A92" s="261"/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24"/>
      <c r="V92" s="203"/>
      <c r="W92" s="203"/>
      <c r="X92" s="203"/>
    </row>
    <row r="93" spans="1:24" ht="12">
      <c r="A93" s="225"/>
      <c r="B93" s="200"/>
      <c r="C93" s="225"/>
      <c r="D93" s="200"/>
      <c r="E93" s="225"/>
      <c r="F93" s="200"/>
      <c r="G93" s="200"/>
      <c r="H93" s="200"/>
      <c r="I93" s="200"/>
      <c r="J93" s="200"/>
      <c r="K93" s="225"/>
      <c r="L93" s="200"/>
      <c r="M93" s="200"/>
      <c r="N93" s="225"/>
      <c r="O93" s="200"/>
      <c r="P93" s="225"/>
      <c r="Q93" s="225"/>
      <c r="R93" s="200"/>
      <c r="S93" s="200"/>
      <c r="T93" s="200"/>
      <c r="U93" s="224"/>
      <c r="V93" s="200"/>
      <c r="W93" s="200"/>
      <c r="X93" s="200"/>
    </row>
    <row r="94" spans="1:24" ht="12">
      <c r="A94" s="164"/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</row>
    <row r="95" spans="1:24" ht="12">
      <c r="A95" s="262"/>
      <c r="B95" s="226"/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63"/>
      <c r="V95" s="203"/>
      <c r="W95" s="203"/>
      <c r="X95" s="203"/>
    </row>
  </sheetData>
  <sheetProtection/>
  <mergeCells count="1">
    <mergeCell ref="B3:T3"/>
  </mergeCells>
  <printOptions/>
  <pageMargins left="0.5511811023622047" right="0.2362204724409449" top="0.5511811023622047" bottom="0.1968503937007874" header="0.5118110236220472" footer="0.2362204724409449"/>
  <pageSetup fitToHeight="1" fitToWidth="1" orientation="portrait" paperSize="9" scale="68" r:id="rId1"/>
  <headerFooter alignWithMargins="0">
    <oddHeader>&amp;R&amp;F</oddHeader>
    <oddFooter>&amp;LComune di Bologna - Dipartimento Programmazione - Settore Statistica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6"/>
  <sheetViews>
    <sheetView showZeros="0" zoomScale="85" zoomScaleNormal="85" zoomScalePageLayoutView="0" workbookViewId="0" topLeftCell="A1">
      <pane ySplit="7" topLeftCell="A8" activePane="bottomLeft" state="frozen"/>
      <selection pane="topLeft" activeCell="T1" sqref="T1:T16384"/>
      <selection pane="bottomLeft" activeCell="T1" sqref="T1:T16384"/>
    </sheetView>
  </sheetViews>
  <sheetFormatPr defaultColWidth="10.875" defaultRowHeight="12"/>
  <cols>
    <col min="1" max="1" width="30.875" style="139" customWidth="1"/>
    <col min="2" max="2" width="6.00390625" style="139" customWidth="1"/>
    <col min="3" max="3" width="6.125" style="139" customWidth="1"/>
    <col min="4" max="4" width="7.625" style="139" customWidth="1"/>
    <col min="5" max="5" width="7.375" style="138" customWidth="1"/>
    <col min="6" max="10" width="7.625" style="139" customWidth="1"/>
    <col min="11" max="11" width="9.75390625" style="139" customWidth="1"/>
    <col min="12" max="15" width="7.625" style="139" customWidth="1"/>
    <col min="16" max="16" width="9.875" style="139" customWidth="1"/>
    <col min="17" max="19" width="7.625" style="139" customWidth="1"/>
    <col min="20" max="20" width="9.00390625" style="139" customWidth="1"/>
    <col min="21" max="21" width="8.00390625" style="139" customWidth="1"/>
    <col min="22" max="23" width="9.875" style="139" customWidth="1"/>
    <col min="24" max="16384" width="10.875" style="139" customWidth="1"/>
  </cols>
  <sheetData>
    <row r="1" spans="1:22" s="121" customFormat="1" ht="15" customHeight="1">
      <c r="A1" s="208" t="s">
        <v>116</v>
      </c>
      <c r="B1" s="118"/>
      <c r="C1" s="118"/>
      <c r="D1" s="118"/>
      <c r="E1" s="209"/>
      <c r="F1" s="118"/>
      <c r="G1" s="118"/>
      <c r="H1" s="20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9"/>
      <c r="T1" s="118"/>
      <c r="U1" s="119"/>
      <c r="V1" s="120"/>
    </row>
    <row r="2" spans="1:22" s="132" customFormat="1" ht="15">
      <c r="A2" s="210" t="s">
        <v>127</v>
      </c>
      <c r="B2" s="123"/>
      <c r="C2" s="123"/>
      <c r="D2" s="124"/>
      <c r="E2" s="211"/>
      <c r="F2" s="125"/>
      <c r="G2" s="124"/>
      <c r="H2" s="126"/>
      <c r="I2" s="123"/>
      <c r="J2" s="127"/>
      <c r="K2" s="115" t="s">
        <v>0</v>
      </c>
      <c r="L2" s="123"/>
      <c r="M2" s="123"/>
      <c r="N2" s="123"/>
      <c r="O2" s="123"/>
      <c r="P2" s="123"/>
      <c r="Q2" s="123"/>
      <c r="R2" s="127"/>
      <c r="S2" s="129"/>
      <c r="T2" s="123"/>
      <c r="U2" s="130"/>
      <c r="V2" s="131"/>
    </row>
    <row r="3" spans="1:22" s="136" customFormat="1" ht="12">
      <c r="A3" s="133"/>
      <c r="B3" s="268" t="s">
        <v>2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134" t="s">
        <v>103</v>
      </c>
      <c r="V3" s="135"/>
    </row>
    <row r="4" spans="1:22" ht="12">
      <c r="A4" s="133"/>
      <c r="B4" s="137" t="s">
        <v>14</v>
      </c>
      <c r="C4" s="23" t="s">
        <v>77</v>
      </c>
      <c r="D4" s="23" t="s">
        <v>11</v>
      </c>
      <c r="E4" s="212" t="s">
        <v>17</v>
      </c>
      <c r="F4" s="23" t="s">
        <v>7</v>
      </c>
      <c r="G4" s="137" t="s">
        <v>89</v>
      </c>
      <c r="H4" s="23" t="s">
        <v>5</v>
      </c>
      <c r="I4" s="137" t="s">
        <v>13</v>
      </c>
      <c r="J4" s="23" t="s">
        <v>8</v>
      </c>
      <c r="K4" s="23" t="s">
        <v>15</v>
      </c>
      <c r="L4" s="23" t="s">
        <v>10</v>
      </c>
      <c r="M4" s="23" t="s">
        <v>10</v>
      </c>
      <c r="N4" s="23" t="s">
        <v>16</v>
      </c>
      <c r="O4" s="137" t="s">
        <v>6</v>
      </c>
      <c r="P4" s="23" t="s">
        <v>6</v>
      </c>
      <c r="Q4" s="23" t="s">
        <v>79</v>
      </c>
      <c r="R4" s="23" t="s">
        <v>6</v>
      </c>
      <c r="S4" s="23" t="s">
        <v>6</v>
      </c>
      <c r="T4" s="137" t="s">
        <v>9</v>
      </c>
      <c r="U4" s="137"/>
      <c r="V4" s="138"/>
    </row>
    <row r="5" spans="1:22" ht="12">
      <c r="A5" s="133"/>
      <c r="B5" s="137" t="s">
        <v>31</v>
      </c>
      <c r="C5" s="23" t="s">
        <v>78</v>
      </c>
      <c r="D5" s="23" t="s">
        <v>28</v>
      </c>
      <c r="E5" s="212" t="s">
        <v>35</v>
      </c>
      <c r="F5" s="23" t="s">
        <v>21</v>
      </c>
      <c r="G5" s="23" t="s">
        <v>29</v>
      </c>
      <c r="H5" s="23" t="s">
        <v>19</v>
      </c>
      <c r="I5" s="137" t="s">
        <v>30</v>
      </c>
      <c r="J5" s="23" t="s">
        <v>23</v>
      </c>
      <c r="K5" s="23" t="s">
        <v>33</v>
      </c>
      <c r="L5" s="23" t="s">
        <v>26</v>
      </c>
      <c r="M5" s="23" t="s">
        <v>32</v>
      </c>
      <c r="N5" s="23" t="s">
        <v>34</v>
      </c>
      <c r="O5" s="137" t="s">
        <v>24</v>
      </c>
      <c r="P5" s="23" t="s">
        <v>96</v>
      </c>
      <c r="Q5" s="23" t="s">
        <v>84</v>
      </c>
      <c r="R5" s="23" t="s">
        <v>20</v>
      </c>
      <c r="S5" s="137" t="s">
        <v>22</v>
      </c>
      <c r="T5" s="137" t="s">
        <v>101</v>
      </c>
      <c r="U5" s="137"/>
      <c r="V5" s="138"/>
    </row>
    <row r="6" spans="1:22" ht="12">
      <c r="A6" s="30"/>
      <c r="B6" s="30"/>
      <c r="C6" s="23"/>
      <c r="D6" s="23" t="s">
        <v>44</v>
      </c>
      <c r="E6" s="212" t="s">
        <v>46</v>
      </c>
      <c r="F6" s="137"/>
      <c r="G6" s="30"/>
      <c r="H6" s="23" t="s">
        <v>36</v>
      </c>
      <c r="I6" s="30"/>
      <c r="J6" s="23" t="s">
        <v>39</v>
      </c>
      <c r="K6" s="23" t="s">
        <v>95</v>
      </c>
      <c r="L6" s="23" t="s">
        <v>42</v>
      </c>
      <c r="M6" s="23" t="s">
        <v>45</v>
      </c>
      <c r="N6" s="23"/>
      <c r="O6" s="29" t="s">
        <v>40</v>
      </c>
      <c r="P6" s="23" t="s">
        <v>97</v>
      </c>
      <c r="Q6" s="23" t="s">
        <v>85</v>
      </c>
      <c r="R6" s="23" t="s">
        <v>37</v>
      </c>
      <c r="S6" s="137" t="s">
        <v>38</v>
      </c>
      <c r="T6" s="137" t="s">
        <v>99</v>
      </c>
      <c r="U6" s="137"/>
      <c r="V6" s="138"/>
    </row>
    <row r="7" spans="1:22" s="132" customFormat="1" ht="12">
      <c r="A7" s="140"/>
      <c r="B7" s="141"/>
      <c r="C7" s="142"/>
      <c r="D7" s="141"/>
      <c r="E7" s="213" t="s">
        <v>93</v>
      </c>
      <c r="F7" s="141"/>
      <c r="G7" s="141"/>
      <c r="H7" s="140"/>
      <c r="I7" s="141"/>
      <c r="J7" s="142" t="s">
        <v>47</v>
      </c>
      <c r="K7" s="142" t="s">
        <v>94</v>
      </c>
      <c r="L7" s="142" t="s">
        <v>50</v>
      </c>
      <c r="M7" s="142" t="s">
        <v>51</v>
      </c>
      <c r="N7" s="142"/>
      <c r="O7" s="141" t="s">
        <v>48</v>
      </c>
      <c r="P7" s="142" t="s">
        <v>98</v>
      </c>
      <c r="Q7" s="142"/>
      <c r="R7" s="141"/>
      <c r="S7" s="141"/>
      <c r="T7" s="141" t="s">
        <v>100</v>
      </c>
      <c r="U7" s="141"/>
      <c r="V7" s="131"/>
    </row>
    <row r="8" spans="2:22" s="136" customFormat="1" ht="12">
      <c r="B8" s="143"/>
      <c r="C8" s="143"/>
      <c r="E8" s="214"/>
      <c r="F8" s="143"/>
      <c r="G8" s="143"/>
      <c r="H8" s="143"/>
      <c r="I8" s="143"/>
      <c r="J8" s="144"/>
      <c r="K8" s="143" t="s">
        <v>54</v>
      </c>
      <c r="L8" s="143"/>
      <c r="M8" s="143"/>
      <c r="N8" s="143"/>
      <c r="O8" s="143"/>
      <c r="P8" s="145"/>
      <c r="Q8" s="143"/>
      <c r="R8" s="143"/>
      <c r="S8" s="143"/>
      <c r="T8" s="143"/>
      <c r="U8" s="143"/>
      <c r="V8" s="135"/>
    </row>
    <row r="9" spans="1:66" s="121" customFormat="1" ht="12">
      <c r="A9" s="146" t="s">
        <v>104</v>
      </c>
      <c r="B9" s="147"/>
      <c r="C9" s="147"/>
      <c r="D9" s="148"/>
      <c r="E9" s="169"/>
      <c r="F9" s="148"/>
      <c r="G9" s="148"/>
      <c r="H9" s="147"/>
      <c r="I9" s="148"/>
      <c r="J9" s="148"/>
      <c r="K9" s="147"/>
      <c r="L9" s="148"/>
      <c r="M9" s="148"/>
      <c r="N9" s="148"/>
      <c r="O9" s="148"/>
      <c r="P9" s="148"/>
      <c r="Q9" s="148"/>
      <c r="R9" s="147"/>
      <c r="S9" s="147"/>
      <c r="T9" s="147"/>
      <c r="U9" s="149"/>
      <c r="V9" s="150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</row>
    <row r="10" spans="1:66" ht="12">
      <c r="A10" s="152" t="s">
        <v>105</v>
      </c>
      <c r="B10" s="147">
        <f aca="true" t="shared" si="0" ref="B10:T10">+B35+B60</f>
        <v>0</v>
      </c>
      <c r="C10" s="147">
        <f t="shared" si="0"/>
        <v>0</v>
      </c>
      <c r="D10" s="147">
        <f t="shared" si="0"/>
        <v>0</v>
      </c>
      <c r="E10" s="215">
        <f t="shared" si="0"/>
        <v>1</v>
      </c>
      <c r="F10" s="147">
        <f t="shared" si="0"/>
        <v>0</v>
      </c>
      <c r="G10" s="147">
        <f t="shared" si="0"/>
        <v>0</v>
      </c>
      <c r="H10" s="147">
        <f t="shared" si="0"/>
        <v>0</v>
      </c>
      <c r="I10" s="147">
        <f t="shared" si="0"/>
        <v>0</v>
      </c>
      <c r="J10" s="147">
        <f t="shared" si="0"/>
        <v>1</v>
      </c>
      <c r="K10" s="147">
        <f t="shared" si="0"/>
        <v>0</v>
      </c>
      <c r="L10" s="147">
        <f t="shared" si="0"/>
        <v>0</v>
      </c>
      <c r="M10" s="147">
        <f t="shared" si="0"/>
        <v>0</v>
      </c>
      <c r="N10" s="147">
        <f t="shared" si="0"/>
        <v>0</v>
      </c>
      <c r="O10" s="147">
        <f t="shared" si="0"/>
        <v>821</v>
      </c>
      <c r="P10" s="147">
        <f t="shared" si="0"/>
        <v>0</v>
      </c>
      <c r="Q10" s="147">
        <f t="shared" si="0"/>
        <v>0</v>
      </c>
      <c r="R10" s="147">
        <f t="shared" si="0"/>
        <v>0</v>
      </c>
      <c r="S10" s="147">
        <f t="shared" si="0"/>
        <v>0</v>
      </c>
      <c r="T10" s="147">
        <f t="shared" si="0"/>
        <v>0</v>
      </c>
      <c r="U10" s="149">
        <f>SUM(B10:T10)</f>
        <v>823</v>
      </c>
      <c r="V10" s="150"/>
      <c r="W10" s="155"/>
      <c r="X10" s="155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</row>
    <row r="11" spans="1:66" ht="12">
      <c r="A11" s="152" t="s">
        <v>115</v>
      </c>
      <c r="B11" s="147">
        <f aca="true" t="shared" si="1" ref="B11:T11">+B36+B61</f>
        <v>93</v>
      </c>
      <c r="C11" s="147">
        <f t="shared" si="1"/>
        <v>0</v>
      </c>
      <c r="D11" s="147">
        <f t="shared" si="1"/>
        <v>20</v>
      </c>
      <c r="E11" s="215">
        <f t="shared" si="1"/>
        <v>179</v>
      </c>
      <c r="F11" s="147">
        <f t="shared" si="1"/>
        <v>379</v>
      </c>
      <c r="G11" s="147">
        <f t="shared" si="1"/>
        <v>222</v>
      </c>
      <c r="H11" s="147">
        <f t="shared" si="1"/>
        <v>1419</v>
      </c>
      <c r="I11" s="147">
        <f t="shared" si="1"/>
        <v>781</v>
      </c>
      <c r="J11" s="147">
        <f t="shared" si="1"/>
        <v>1427</v>
      </c>
      <c r="K11" s="147">
        <f t="shared" si="1"/>
        <v>233</v>
      </c>
      <c r="L11" s="147">
        <f t="shared" si="1"/>
        <v>156</v>
      </c>
      <c r="M11" s="147">
        <f t="shared" si="1"/>
        <v>67</v>
      </c>
      <c r="N11" s="147">
        <f t="shared" si="1"/>
        <v>130</v>
      </c>
      <c r="O11" s="147">
        <f t="shared" si="1"/>
        <v>710</v>
      </c>
      <c r="P11" s="147">
        <f t="shared" si="1"/>
        <v>358</v>
      </c>
      <c r="Q11" s="147">
        <f t="shared" si="1"/>
        <v>113</v>
      </c>
      <c r="R11" s="147">
        <f t="shared" si="1"/>
        <v>597</v>
      </c>
      <c r="S11" s="147">
        <f t="shared" si="1"/>
        <v>33</v>
      </c>
      <c r="T11" s="147">
        <f t="shared" si="1"/>
        <v>12</v>
      </c>
      <c r="U11" s="149">
        <f>SUM(B11:T11)</f>
        <v>6929</v>
      </c>
      <c r="V11" s="150"/>
      <c r="W11" s="155"/>
      <c r="X11" s="155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</row>
    <row r="12" spans="1:66" ht="12">
      <c r="A12" s="152" t="s">
        <v>107</v>
      </c>
      <c r="B12" s="147">
        <f aca="true" t="shared" si="2" ref="B12:T12">+B37+B62</f>
        <v>93</v>
      </c>
      <c r="C12" s="147">
        <f t="shared" si="2"/>
        <v>0</v>
      </c>
      <c r="D12" s="147">
        <f t="shared" si="2"/>
        <v>20</v>
      </c>
      <c r="E12" s="215">
        <f t="shared" si="2"/>
        <v>180</v>
      </c>
      <c r="F12" s="147">
        <f t="shared" si="2"/>
        <v>379</v>
      </c>
      <c r="G12" s="147">
        <f t="shared" si="2"/>
        <v>222</v>
      </c>
      <c r="H12" s="147">
        <f t="shared" si="2"/>
        <v>1419</v>
      </c>
      <c r="I12" s="147">
        <f t="shared" si="2"/>
        <v>781</v>
      </c>
      <c r="J12" s="147">
        <f t="shared" si="2"/>
        <v>1428</v>
      </c>
      <c r="K12" s="147">
        <f t="shared" si="2"/>
        <v>233</v>
      </c>
      <c r="L12" s="147">
        <f t="shared" si="2"/>
        <v>156</v>
      </c>
      <c r="M12" s="147">
        <f t="shared" si="2"/>
        <v>67</v>
      </c>
      <c r="N12" s="147">
        <f t="shared" si="2"/>
        <v>130</v>
      </c>
      <c r="O12" s="147">
        <f t="shared" si="2"/>
        <v>1531</v>
      </c>
      <c r="P12" s="147">
        <f t="shared" si="2"/>
        <v>358</v>
      </c>
      <c r="Q12" s="147">
        <f t="shared" si="2"/>
        <v>113</v>
      </c>
      <c r="R12" s="147">
        <f t="shared" si="2"/>
        <v>597</v>
      </c>
      <c r="S12" s="147">
        <f t="shared" si="2"/>
        <v>33</v>
      </c>
      <c r="T12" s="147">
        <f t="shared" si="2"/>
        <v>12</v>
      </c>
      <c r="U12" s="157">
        <f>+U10+U11</f>
        <v>7752</v>
      </c>
      <c r="V12" s="158"/>
      <c r="W12" s="155"/>
      <c r="X12" s="155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</row>
    <row r="13" spans="1:66" ht="12">
      <c r="A13" s="146" t="s">
        <v>108</v>
      </c>
      <c r="B13" s="147"/>
      <c r="C13" s="148"/>
      <c r="D13" s="148"/>
      <c r="E13" s="169"/>
      <c r="F13" s="148"/>
      <c r="G13" s="148"/>
      <c r="H13" s="147"/>
      <c r="I13" s="148"/>
      <c r="J13" s="148"/>
      <c r="K13" s="147"/>
      <c r="L13" s="148"/>
      <c r="M13" s="148"/>
      <c r="N13" s="148"/>
      <c r="O13" s="148"/>
      <c r="P13" s="148"/>
      <c r="Q13" s="148"/>
      <c r="R13" s="147"/>
      <c r="S13" s="147"/>
      <c r="T13" s="147"/>
      <c r="U13" s="149"/>
      <c r="V13" s="158"/>
      <c r="W13" s="155"/>
      <c r="X13" s="155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</row>
    <row r="14" spans="1:66" ht="12">
      <c r="A14" s="152" t="s">
        <v>105</v>
      </c>
      <c r="B14" s="147">
        <f aca="true" t="shared" si="3" ref="B14:T14">+B39+B64</f>
        <v>0</v>
      </c>
      <c r="C14" s="147">
        <f t="shared" si="3"/>
        <v>0</v>
      </c>
      <c r="D14" s="147">
        <f t="shared" si="3"/>
        <v>0</v>
      </c>
      <c r="E14" s="215">
        <f t="shared" si="3"/>
        <v>0</v>
      </c>
      <c r="F14" s="147">
        <f t="shared" si="3"/>
        <v>0</v>
      </c>
      <c r="G14" s="147">
        <f t="shared" si="3"/>
        <v>0</v>
      </c>
      <c r="H14" s="147">
        <f t="shared" si="3"/>
        <v>0</v>
      </c>
      <c r="I14" s="147">
        <f t="shared" si="3"/>
        <v>0</v>
      </c>
      <c r="J14" s="147">
        <f t="shared" si="3"/>
        <v>0</v>
      </c>
      <c r="K14" s="147">
        <f t="shared" si="3"/>
        <v>0</v>
      </c>
      <c r="L14" s="147">
        <f t="shared" si="3"/>
        <v>1</v>
      </c>
      <c r="M14" s="147">
        <f t="shared" si="3"/>
        <v>0</v>
      </c>
      <c r="N14" s="147">
        <f t="shared" si="3"/>
        <v>0</v>
      </c>
      <c r="O14" s="147">
        <f t="shared" si="3"/>
        <v>0</v>
      </c>
      <c r="P14" s="147">
        <f t="shared" si="3"/>
        <v>0</v>
      </c>
      <c r="Q14" s="147">
        <f t="shared" si="3"/>
        <v>0</v>
      </c>
      <c r="R14" s="147">
        <f t="shared" si="3"/>
        <v>0</v>
      </c>
      <c r="S14" s="147">
        <f t="shared" si="3"/>
        <v>0</v>
      </c>
      <c r="T14" s="147">
        <f t="shared" si="3"/>
        <v>0</v>
      </c>
      <c r="U14" s="149">
        <f>SUM(B14:T14)</f>
        <v>1</v>
      </c>
      <c r="V14" s="158"/>
      <c r="W14" s="155"/>
      <c r="X14" s="155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</row>
    <row r="15" spans="1:66" s="162" customFormat="1" ht="12">
      <c r="A15" s="152" t="s">
        <v>115</v>
      </c>
      <c r="B15" s="147">
        <f aca="true" t="shared" si="4" ref="B15:T15">+B40+B65</f>
        <v>1</v>
      </c>
      <c r="C15" s="147">
        <f t="shared" si="4"/>
        <v>0</v>
      </c>
      <c r="D15" s="147">
        <f t="shared" si="4"/>
        <v>0</v>
      </c>
      <c r="E15" s="215">
        <f t="shared" si="4"/>
        <v>4</v>
      </c>
      <c r="F15" s="147">
        <f t="shared" si="4"/>
        <v>4</v>
      </c>
      <c r="G15" s="147">
        <f t="shared" si="4"/>
        <v>0</v>
      </c>
      <c r="H15" s="147">
        <f t="shared" si="4"/>
        <v>1</v>
      </c>
      <c r="I15" s="147">
        <f t="shared" si="4"/>
        <v>6</v>
      </c>
      <c r="J15" s="147">
        <f t="shared" si="4"/>
        <v>0</v>
      </c>
      <c r="K15" s="147">
        <f t="shared" si="4"/>
        <v>0</v>
      </c>
      <c r="L15" s="147">
        <f t="shared" si="4"/>
        <v>2</v>
      </c>
      <c r="M15" s="147">
        <f t="shared" si="4"/>
        <v>1</v>
      </c>
      <c r="N15" s="147">
        <f t="shared" si="4"/>
        <v>0</v>
      </c>
      <c r="O15" s="147">
        <f t="shared" si="4"/>
        <v>1</v>
      </c>
      <c r="P15" s="147">
        <f t="shared" si="4"/>
        <v>0</v>
      </c>
      <c r="Q15" s="147">
        <f t="shared" si="4"/>
        <v>0</v>
      </c>
      <c r="R15" s="147">
        <f t="shared" si="4"/>
        <v>1</v>
      </c>
      <c r="S15" s="147">
        <f t="shared" si="4"/>
        <v>2</v>
      </c>
      <c r="T15" s="147">
        <f t="shared" si="4"/>
        <v>0</v>
      </c>
      <c r="U15" s="149">
        <f>SUM(B15:T15)</f>
        <v>23</v>
      </c>
      <c r="V15" s="160"/>
      <c r="W15" s="155"/>
      <c r="X15" s="155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</row>
    <row r="16" spans="1:66" ht="12">
      <c r="A16" s="152" t="s">
        <v>107</v>
      </c>
      <c r="B16" s="147">
        <f aca="true" t="shared" si="5" ref="B16:T16">+B41+B66</f>
        <v>1</v>
      </c>
      <c r="C16" s="147">
        <f t="shared" si="5"/>
        <v>0</v>
      </c>
      <c r="D16" s="147">
        <f t="shared" si="5"/>
        <v>0</v>
      </c>
      <c r="E16" s="215">
        <f t="shared" si="5"/>
        <v>4</v>
      </c>
      <c r="F16" s="147">
        <f t="shared" si="5"/>
        <v>4</v>
      </c>
      <c r="G16" s="147">
        <f t="shared" si="5"/>
        <v>0</v>
      </c>
      <c r="H16" s="147">
        <f t="shared" si="5"/>
        <v>1</v>
      </c>
      <c r="I16" s="147">
        <f t="shared" si="5"/>
        <v>6</v>
      </c>
      <c r="J16" s="147">
        <f t="shared" si="5"/>
        <v>0</v>
      </c>
      <c r="K16" s="147">
        <f t="shared" si="5"/>
        <v>0</v>
      </c>
      <c r="L16" s="147">
        <f t="shared" si="5"/>
        <v>3</v>
      </c>
      <c r="M16" s="147">
        <f t="shared" si="5"/>
        <v>1</v>
      </c>
      <c r="N16" s="147">
        <f t="shared" si="5"/>
        <v>0</v>
      </c>
      <c r="O16" s="147">
        <f t="shared" si="5"/>
        <v>1</v>
      </c>
      <c r="P16" s="147">
        <f t="shared" si="5"/>
        <v>0</v>
      </c>
      <c r="Q16" s="147">
        <f t="shared" si="5"/>
        <v>0</v>
      </c>
      <c r="R16" s="147">
        <f t="shared" si="5"/>
        <v>1</v>
      </c>
      <c r="S16" s="147">
        <f t="shared" si="5"/>
        <v>2</v>
      </c>
      <c r="T16" s="147">
        <f t="shared" si="5"/>
        <v>0</v>
      </c>
      <c r="U16" s="157">
        <f>+U14+U15</f>
        <v>24</v>
      </c>
      <c r="V16" s="158"/>
      <c r="W16" s="155"/>
      <c r="X16" s="155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</row>
    <row r="17" spans="1:66" s="166" customFormat="1" ht="12">
      <c r="A17" s="146" t="s">
        <v>109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48"/>
      <c r="S17" s="163"/>
      <c r="T17" s="163"/>
      <c r="U17" s="149"/>
      <c r="V17" s="164"/>
      <c r="W17" s="155"/>
      <c r="X17" s="15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</row>
    <row r="18" spans="1:66" ht="13.5" customHeight="1">
      <c r="A18" s="152" t="s">
        <v>105</v>
      </c>
      <c r="B18" s="147">
        <f aca="true" t="shared" si="6" ref="B18:T18">+B43+B68</f>
        <v>731</v>
      </c>
      <c r="C18" s="147">
        <f t="shared" si="6"/>
        <v>116</v>
      </c>
      <c r="D18" s="147">
        <f t="shared" si="6"/>
        <v>289</v>
      </c>
      <c r="E18" s="215">
        <f t="shared" si="6"/>
        <v>419</v>
      </c>
      <c r="F18" s="147">
        <f t="shared" si="6"/>
        <v>4694</v>
      </c>
      <c r="G18" s="147">
        <f t="shared" si="6"/>
        <v>259</v>
      </c>
      <c r="H18" s="147">
        <f t="shared" si="6"/>
        <v>562</v>
      </c>
      <c r="I18" s="147">
        <f t="shared" si="6"/>
        <v>4446</v>
      </c>
      <c r="J18" s="147">
        <f t="shared" si="6"/>
        <v>5727</v>
      </c>
      <c r="K18" s="147">
        <f t="shared" si="6"/>
        <v>1770</v>
      </c>
      <c r="L18" s="147">
        <f t="shared" si="6"/>
        <v>2382</v>
      </c>
      <c r="M18" s="147">
        <f t="shared" si="6"/>
        <v>109</v>
      </c>
      <c r="N18" s="147">
        <f t="shared" si="6"/>
        <v>779</v>
      </c>
      <c r="O18" s="147">
        <f t="shared" si="6"/>
        <v>1979</v>
      </c>
      <c r="P18" s="147">
        <f t="shared" si="6"/>
        <v>2726</v>
      </c>
      <c r="Q18" s="147">
        <f t="shared" si="6"/>
        <v>778</v>
      </c>
      <c r="R18" s="147">
        <f t="shared" si="6"/>
        <v>3411</v>
      </c>
      <c r="S18" s="147">
        <f t="shared" si="6"/>
        <v>311</v>
      </c>
      <c r="T18" s="147">
        <f t="shared" si="6"/>
        <v>498</v>
      </c>
      <c r="U18" s="149">
        <f>SUM(B18:T18)</f>
        <v>31986</v>
      </c>
      <c r="V18" s="167"/>
      <c r="W18" s="168"/>
      <c r="X18" s="168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</row>
    <row r="19" spans="1:38" ht="12">
      <c r="A19" s="152" t="s">
        <v>115</v>
      </c>
      <c r="B19" s="147">
        <f aca="true" t="shared" si="7" ref="B19:T19">+B44+B69</f>
        <v>417</v>
      </c>
      <c r="C19" s="147">
        <f t="shared" si="7"/>
        <v>26</v>
      </c>
      <c r="D19" s="147">
        <f t="shared" si="7"/>
        <v>56</v>
      </c>
      <c r="E19" s="215">
        <f t="shared" si="7"/>
        <v>366</v>
      </c>
      <c r="F19" s="147">
        <f t="shared" si="7"/>
        <v>2723</v>
      </c>
      <c r="G19" s="147">
        <f t="shared" si="7"/>
        <v>119</v>
      </c>
      <c r="H19" s="147">
        <f t="shared" si="7"/>
        <v>988</v>
      </c>
      <c r="I19" s="147">
        <f t="shared" si="7"/>
        <v>2237</v>
      </c>
      <c r="J19" s="147">
        <f t="shared" si="7"/>
        <v>3200</v>
      </c>
      <c r="K19" s="147">
        <f t="shared" si="7"/>
        <v>843</v>
      </c>
      <c r="L19" s="147">
        <f t="shared" si="7"/>
        <v>434</v>
      </c>
      <c r="M19" s="147">
        <f t="shared" si="7"/>
        <v>44</v>
      </c>
      <c r="N19" s="147">
        <f t="shared" si="7"/>
        <v>248</v>
      </c>
      <c r="O19" s="147">
        <f t="shared" si="7"/>
        <v>1220</v>
      </c>
      <c r="P19" s="147">
        <f t="shared" si="7"/>
        <v>1547</v>
      </c>
      <c r="Q19" s="147">
        <f t="shared" si="7"/>
        <v>336</v>
      </c>
      <c r="R19" s="147">
        <f t="shared" si="7"/>
        <v>1768</v>
      </c>
      <c r="S19" s="147">
        <f t="shared" si="7"/>
        <v>134</v>
      </c>
      <c r="T19" s="147">
        <f t="shared" si="7"/>
        <v>54</v>
      </c>
      <c r="U19" s="149">
        <f>SUM(B19:T19)</f>
        <v>16760</v>
      </c>
      <c r="V19" s="167"/>
      <c r="W19" s="168"/>
      <c r="X19" s="168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</row>
    <row r="20" spans="1:66" ht="12">
      <c r="A20" s="152" t="s">
        <v>107</v>
      </c>
      <c r="B20" s="147">
        <f aca="true" t="shared" si="8" ref="B20:T20">+B45+B70</f>
        <v>1148</v>
      </c>
      <c r="C20" s="147">
        <f t="shared" si="8"/>
        <v>142</v>
      </c>
      <c r="D20" s="147">
        <f t="shared" si="8"/>
        <v>345</v>
      </c>
      <c r="E20" s="215">
        <f t="shared" si="8"/>
        <v>785</v>
      </c>
      <c r="F20" s="147">
        <f t="shared" si="8"/>
        <v>7417</v>
      </c>
      <c r="G20" s="147">
        <f t="shared" si="8"/>
        <v>378</v>
      </c>
      <c r="H20" s="147">
        <f t="shared" si="8"/>
        <v>1550</v>
      </c>
      <c r="I20" s="147">
        <f t="shared" si="8"/>
        <v>6683</v>
      </c>
      <c r="J20" s="147">
        <f t="shared" si="8"/>
        <v>8927</v>
      </c>
      <c r="K20" s="147">
        <f t="shared" si="8"/>
        <v>2613</v>
      </c>
      <c r="L20" s="147">
        <f t="shared" si="8"/>
        <v>2816</v>
      </c>
      <c r="M20" s="147">
        <f t="shared" si="8"/>
        <v>153</v>
      </c>
      <c r="N20" s="147">
        <f t="shared" si="8"/>
        <v>1027</v>
      </c>
      <c r="O20" s="147">
        <f t="shared" si="8"/>
        <v>3199</v>
      </c>
      <c r="P20" s="147">
        <f t="shared" si="8"/>
        <v>4273</v>
      </c>
      <c r="Q20" s="147">
        <f t="shared" si="8"/>
        <v>1114</v>
      </c>
      <c r="R20" s="147">
        <f t="shared" si="8"/>
        <v>5179</v>
      </c>
      <c r="S20" s="147">
        <f t="shared" si="8"/>
        <v>445</v>
      </c>
      <c r="T20" s="147">
        <f t="shared" si="8"/>
        <v>552</v>
      </c>
      <c r="U20" s="157">
        <f>+U18+U19</f>
        <v>48746</v>
      </c>
      <c r="V20" s="158"/>
      <c r="W20" s="155"/>
      <c r="X20" s="155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</row>
    <row r="21" spans="1:38" ht="24">
      <c r="A21" s="146" t="s">
        <v>117</v>
      </c>
      <c r="B21" s="169"/>
      <c r="C21" s="170"/>
      <c r="D21" s="170"/>
      <c r="E21" s="170"/>
      <c r="F21" s="169"/>
      <c r="G21" s="169"/>
      <c r="H21" s="171"/>
      <c r="I21" s="169"/>
      <c r="J21" s="172"/>
      <c r="K21" s="170"/>
      <c r="L21" s="172"/>
      <c r="M21" s="172"/>
      <c r="N21" s="170"/>
      <c r="O21" s="169"/>
      <c r="P21" s="172"/>
      <c r="Q21" s="170"/>
      <c r="R21" s="169"/>
      <c r="S21" s="169"/>
      <c r="T21" s="169"/>
      <c r="U21" s="149"/>
      <c r="V21" s="171"/>
      <c r="W21" s="171"/>
      <c r="X21" s="171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</row>
    <row r="22" spans="1:38" ht="12">
      <c r="A22" s="152" t="s">
        <v>105</v>
      </c>
      <c r="B22" s="147">
        <f aca="true" t="shared" si="9" ref="B22:T22">+B47+B72</f>
        <v>155</v>
      </c>
      <c r="C22" s="147">
        <f t="shared" si="9"/>
        <v>65</v>
      </c>
      <c r="D22" s="147">
        <f t="shared" si="9"/>
        <v>82</v>
      </c>
      <c r="E22" s="215">
        <f t="shared" si="9"/>
        <v>228</v>
      </c>
      <c r="F22" s="147">
        <f t="shared" si="9"/>
        <v>1278</v>
      </c>
      <c r="G22" s="147">
        <f t="shared" si="9"/>
        <v>35</v>
      </c>
      <c r="H22" s="147">
        <f t="shared" si="9"/>
        <v>344</v>
      </c>
      <c r="I22" s="147">
        <f t="shared" si="9"/>
        <v>1913</v>
      </c>
      <c r="J22" s="147">
        <f t="shared" si="9"/>
        <v>2371</v>
      </c>
      <c r="K22" s="147">
        <f t="shared" si="9"/>
        <v>319</v>
      </c>
      <c r="L22" s="147">
        <f t="shared" si="9"/>
        <v>81</v>
      </c>
      <c r="M22" s="147">
        <f t="shared" si="9"/>
        <v>102</v>
      </c>
      <c r="N22" s="147">
        <f t="shared" si="9"/>
        <v>608</v>
      </c>
      <c r="O22" s="147">
        <f t="shared" si="9"/>
        <v>516</v>
      </c>
      <c r="P22" s="147">
        <f t="shared" si="9"/>
        <v>1082</v>
      </c>
      <c r="Q22" s="147">
        <f t="shared" si="9"/>
        <v>130</v>
      </c>
      <c r="R22" s="147">
        <f t="shared" si="9"/>
        <v>1039</v>
      </c>
      <c r="S22" s="147">
        <f t="shared" si="9"/>
        <v>240</v>
      </c>
      <c r="T22" s="147">
        <f t="shared" si="9"/>
        <v>192</v>
      </c>
      <c r="U22" s="149">
        <f>SUM(B22:T22)</f>
        <v>10780</v>
      </c>
      <c r="V22" s="150"/>
      <c r="W22" s="150"/>
      <c r="X22" s="150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</row>
    <row r="23" spans="1:38" ht="12">
      <c r="A23" s="152" t="s">
        <v>115</v>
      </c>
      <c r="B23" s="147">
        <f aca="true" t="shared" si="10" ref="B23:T23">+B48+B73</f>
        <v>40</v>
      </c>
      <c r="C23" s="147">
        <f t="shared" si="10"/>
        <v>0</v>
      </c>
      <c r="D23" s="147">
        <f t="shared" si="10"/>
        <v>8</v>
      </c>
      <c r="E23" s="215">
        <f t="shared" si="10"/>
        <v>62</v>
      </c>
      <c r="F23" s="147">
        <f t="shared" si="10"/>
        <v>375</v>
      </c>
      <c r="G23" s="147">
        <f t="shared" si="10"/>
        <v>2</v>
      </c>
      <c r="H23" s="147">
        <f t="shared" si="10"/>
        <v>265</v>
      </c>
      <c r="I23" s="147">
        <f t="shared" si="10"/>
        <v>853</v>
      </c>
      <c r="J23" s="147">
        <f t="shared" si="10"/>
        <v>882</v>
      </c>
      <c r="K23" s="147">
        <f t="shared" si="10"/>
        <v>133</v>
      </c>
      <c r="L23" s="147">
        <f t="shared" si="10"/>
        <v>3</v>
      </c>
      <c r="M23" s="147">
        <f t="shared" si="10"/>
        <v>11</v>
      </c>
      <c r="N23" s="147">
        <f t="shared" si="10"/>
        <v>132</v>
      </c>
      <c r="O23" s="147">
        <f t="shared" si="10"/>
        <v>187</v>
      </c>
      <c r="P23" s="147">
        <f t="shared" si="10"/>
        <v>270</v>
      </c>
      <c r="Q23" s="147">
        <f t="shared" si="10"/>
        <v>16</v>
      </c>
      <c r="R23" s="147">
        <f t="shared" si="10"/>
        <v>378</v>
      </c>
      <c r="S23" s="147">
        <f t="shared" si="10"/>
        <v>44</v>
      </c>
      <c r="T23" s="147">
        <f t="shared" si="10"/>
        <v>29</v>
      </c>
      <c r="U23" s="149">
        <f>SUM(B23:T23)</f>
        <v>3690</v>
      </c>
      <c r="V23" s="164"/>
      <c r="W23" s="160"/>
      <c r="X23" s="160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</row>
    <row r="24" spans="1:66" ht="12">
      <c r="A24" s="152" t="s">
        <v>107</v>
      </c>
      <c r="B24" s="147">
        <f aca="true" t="shared" si="11" ref="B24:T24">+B49+B74</f>
        <v>195</v>
      </c>
      <c r="C24" s="147">
        <f t="shared" si="11"/>
        <v>65</v>
      </c>
      <c r="D24" s="147">
        <f t="shared" si="11"/>
        <v>90</v>
      </c>
      <c r="E24" s="215">
        <f t="shared" si="11"/>
        <v>290</v>
      </c>
      <c r="F24" s="147">
        <f t="shared" si="11"/>
        <v>1653</v>
      </c>
      <c r="G24" s="147">
        <f t="shared" si="11"/>
        <v>37</v>
      </c>
      <c r="H24" s="147">
        <f t="shared" si="11"/>
        <v>609</v>
      </c>
      <c r="I24" s="147">
        <f t="shared" si="11"/>
        <v>2766</v>
      </c>
      <c r="J24" s="147">
        <f t="shared" si="11"/>
        <v>3253</v>
      </c>
      <c r="K24" s="147">
        <f t="shared" si="11"/>
        <v>452</v>
      </c>
      <c r="L24" s="147">
        <f t="shared" si="11"/>
        <v>84</v>
      </c>
      <c r="M24" s="147">
        <f t="shared" si="11"/>
        <v>113</v>
      </c>
      <c r="N24" s="147">
        <f t="shared" si="11"/>
        <v>740</v>
      </c>
      <c r="O24" s="147">
        <f t="shared" si="11"/>
        <v>703</v>
      </c>
      <c r="P24" s="147">
        <f t="shared" si="11"/>
        <v>1352</v>
      </c>
      <c r="Q24" s="147">
        <f t="shared" si="11"/>
        <v>146</v>
      </c>
      <c r="R24" s="147">
        <f t="shared" si="11"/>
        <v>1417</v>
      </c>
      <c r="S24" s="147">
        <f t="shared" si="11"/>
        <v>284</v>
      </c>
      <c r="T24" s="147">
        <f t="shared" si="11"/>
        <v>221</v>
      </c>
      <c r="U24" s="157">
        <f>+U22+U23</f>
        <v>14470</v>
      </c>
      <c r="V24" s="158"/>
      <c r="W24" s="155"/>
      <c r="X24" s="155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</row>
    <row r="25" spans="1:38" ht="12">
      <c r="A25" s="146" t="s">
        <v>111</v>
      </c>
      <c r="B25" s="173"/>
      <c r="C25" s="173"/>
      <c r="D25" s="173"/>
      <c r="E25" s="16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49"/>
      <c r="V25" s="163"/>
      <c r="W25" s="173"/>
      <c r="X25" s="173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</row>
    <row r="26" spans="1:38" ht="12">
      <c r="A26" s="152" t="s">
        <v>105</v>
      </c>
      <c r="B26" s="147">
        <f aca="true" t="shared" si="12" ref="B26:U26">B51+B76</f>
        <v>0</v>
      </c>
      <c r="C26" s="147">
        <f t="shared" si="12"/>
        <v>394</v>
      </c>
      <c r="D26" s="147">
        <f t="shared" si="12"/>
        <v>0</v>
      </c>
      <c r="E26" s="147">
        <f t="shared" si="12"/>
        <v>0</v>
      </c>
      <c r="F26" s="147">
        <f t="shared" si="12"/>
        <v>0</v>
      </c>
      <c r="G26" s="147">
        <f t="shared" si="12"/>
        <v>2000</v>
      </c>
      <c r="H26" s="147">
        <f t="shared" si="12"/>
        <v>4564</v>
      </c>
      <c r="I26" s="147">
        <f t="shared" si="12"/>
        <v>681</v>
      </c>
      <c r="J26" s="147">
        <f t="shared" si="12"/>
        <v>0</v>
      </c>
      <c r="K26" s="147">
        <f t="shared" si="12"/>
        <v>0</v>
      </c>
      <c r="L26" s="147">
        <f t="shared" si="12"/>
        <v>2151</v>
      </c>
      <c r="M26" s="147">
        <f t="shared" si="12"/>
        <v>756</v>
      </c>
      <c r="N26" s="147">
        <f t="shared" si="12"/>
        <v>0</v>
      </c>
      <c r="O26" s="147">
        <f t="shared" si="12"/>
        <v>0</v>
      </c>
      <c r="P26" s="147">
        <f t="shared" si="12"/>
        <v>0</v>
      </c>
      <c r="Q26" s="147">
        <f t="shared" si="12"/>
        <v>0</v>
      </c>
      <c r="R26" s="147">
        <f t="shared" si="12"/>
        <v>0</v>
      </c>
      <c r="S26" s="147">
        <f t="shared" si="12"/>
        <v>0</v>
      </c>
      <c r="T26" s="147">
        <f t="shared" si="12"/>
        <v>0</v>
      </c>
      <c r="U26" s="147">
        <f t="shared" si="12"/>
        <v>10546</v>
      </c>
      <c r="V26" s="177"/>
      <c r="W26" s="159"/>
      <c r="X26" s="159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</row>
    <row r="27" spans="1:38" ht="12">
      <c r="A27" s="152" t="s">
        <v>115</v>
      </c>
      <c r="B27" s="147">
        <f aca="true" t="shared" si="13" ref="B27:U27">B52+B77</f>
        <v>0</v>
      </c>
      <c r="C27" s="147">
        <f t="shared" si="13"/>
        <v>167</v>
      </c>
      <c r="D27" s="147">
        <f t="shared" si="13"/>
        <v>0</v>
      </c>
      <c r="E27" s="147">
        <f t="shared" si="13"/>
        <v>0</v>
      </c>
      <c r="F27" s="147">
        <f t="shared" si="13"/>
        <v>0</v>
      </c>
      <c r="G27" s="147">
        <f t="shared" si="13"/>
        <v>458</v>
      </c>
      <c r="H27" s="147">
        <f t="shared" si="13"/>
        <v>669</v>
      </c>
      <c r="I27" s="147">
        <f t="shared" si="13"/>
        <v>472</v>
      </c>
      <c r="J27" s="147">
        <f t="shared" si="13"/>
        <v>0</v>
      </c>
      <c r="K27" s="147">
        <f t="shared" si="13"/>
        <v>0</v>
      </c>
      <c r="L27" s="147">
        <f t="shared" si="13"/>
        <v>640</v>
      </c>
      <c r="M27" s="147">
        <f t="shared" si="13"/>
        <v>374</v>
      </c>
      <c r="N27" s="147">
        <f t="shared" si="13"/>
        <v>0</v>
      </c>
      <c r="O27" s="147">
        <f t="shared" si="13"/>
        <v>0</v>
      </c>
      <c r="P27" s="147">
        <f t="shared" si="13"/>
        <v>0</v>
      </c>
      <c r="Q27" s="147">
        <f t="shared" si="13"/>
        <v>0</v>
      </c>
      <c r="R27" s="147">
        <f t="shared" si="13"/>
        <v>0</v>
      </c>
      <c r="S27" s="147">
        <f t="shared" si="13"/>
        <v>0</v>
      </c>
      <c r="T27" s="147">
        <f t="shared" si="13"/>
        <v>0</v>
      </c>
      <c r="U27" s="147">
        <f t="shared" si="13"/>
        <v>2780</v>
      </c>
      <c r="V27" s="150"/>
      <c r="W27" s="155"/>
      <c r="X27" s="155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</row>
    <row r="28" spans="1:66" ht="12">
      <c r="A28" s="152" t="s">
        <v>107</v>
      </c>
      <c r="B28" s="147">
        <f aca="true" t="shared" si="14" ref="B28:T28">B26+B27</f>
        <v>0</v>
      </c>
      <c r="C28" s="147">
        <f t="shared" si="14"/>
        <v>561</v>
      </c>
      <c r="D28" s="147">
        <f t="shared" si="14"/>
        <v>0</v>
      </c>
      <c r="E28" s="147">
        <f t="shared" si="14"/>
        <v>0</v>
      </c>
      <c r="F28" s="147">
        <f t="shared" si="14"/>
        <v>0</v>
      </c>
      <c r="G28" s="147">
        <f t="shared" si="14"/>
        <v>2458</v>
      </c>
      <c r="H28" s="147">
        <f t="shared" si="14"/>
        <v>5233</v>
      </c>
      <c r="I28" s="147">
        <f t="shared" si="14"/>
        <v>1153</v>
      </c>
      <c r="J28" s="147">
        <f t="shared" si="14"/>
        <v>0</v>
      </c>
      <c r="K28" s="147">
        <f t="shared" si="14"/>
        <v>0</v>
      </c>
      <c r="L28" s="147">
        <f t="shared" si="14"/>
        <v>2791</v>
      </c>
      <c r="M28" s="147">
        <f t="shared" si="14"/>
        <v>1130</v>
      </c>
      <c r="N28" s="147">
        <f t="shared" si="14"/>
        <v>0</v>
      </c>
      <c r="O28" s="147">
        <f t="shared" si="14"/>
        <v>0</v>
      </c>
      <c r="P28" s="147">
        <f t="shared" si="14"/>
        <v>0</v>
      </c>
      <c r="Q28" s="147">
        <f t="shared" si="14"/>
        <v>0</v>
      </c>
      <c r="R28" s="147">
        <f t="shared" si="14"/>
        <v>0</v>
      </c>
      <c r="S28" s="147">
        <f t="shared" si="14"/>
        <v>0</v>
      </c>
      <c r="T28" s="147">
        <f t="shared" si="14"/>
        <v>0</v>
      </c>
      <c r="U28" s="157">
        <f>+U26+U27</f>
        <v>13326</v>
      </c>
      <c r="V28" s="158"/>
      <c r="W28" s="155"/>
      <c r="X28" s="155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</row>
    <row r="29" spans="1:38" ht="12">
      <c r="A29" s="146" t="s">
        <v>112</v>
      </c>
      <c r="B29" s="178"/>
      <c r="C29" s="178"/>
      <c r="D29" s="178"/>
      <c r="E29" s="216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9"/>
      <c r="V29" s="150"/>
      <c r="W29" s="155"/>
      <c r="X29" s="155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</row>
    <row r="30" spans="1:24" ht="12">
      <c r="A30" s="152" t="s">
        <v>105</v>
      </c>
      <c r="B30" s="180">
        <f aca="true" t="shared" si="15" ref="B30:U30">+B26+B22+B18+B14+B10</f>
        <v>886</v>
      </c>
      <c r="C30" s="180">
        <f t="shared" si="15"/>
        <v>575</v>
      </c>
      <c r="D30" s="180">
        <f t="shared" si="15"/>
        <v>371</v>
      </c>
      <c r="E30" s="180">
        <f t="shared" si="15"/>
        <v>648</v>
      </c>
      <c r="F30" s="180">
        <f t="shared" si="15"/>
        <v>5972</v>
      </c>
      <c r="G30" s="180">
        <f t="shared" si="15"/>
        <v>2294</v>
      </c>
      <c r="H30" s="180">
        <f t="shared" si="15"/>
        <v>5470</v>
      </c>
      <c r="I30" s="180">
        <f t="shared" si="15"/>
        <v>7040</v>
      </c>
      <c r="J30" s="180">
        <f t="shared" si="15"/>
        <v>8099</v>
      </c>
      <c r="K30" s="180">
        <f t="shared" si="15"/>
        <v>2089</v>
      </c>
      <c r="L30" s="180">
        <f t="shared" si="15"/>
        <v>4615</v>
      </c>
      <c r="M30" s="180">
        <f t="shared" si="15"/>
        <v>967</v>
      </c>
      <c r="N30" s="180">
        <f t="shared" si="15"/>
        <v>1387</v>
      </c>
      <c r="O30" s="180">
        <f t="shared" si="15"/>
        <v>3316</v>
      </c>
      <c r="P30" s="180">
        <f t="shared" si="15"/>
        <v>3808</v>
      </c>
      <c r="Q30" s="180">
        <f t="shared" si="15"/>
        <v>908</v>
      </c>
      <c r="R30" s="180">
        <f t="shared" si="15"/>
        <v>4450</v>
      </c>
      <c r="S30" s="180">
        <f t="shared" si="15"/>
        <v>551</v>
      </c>
      <c r="T30" s="180">
        <f t="shared" si="15"/>
        <v>690</v>
      </c>
      <c r="U30" s="180">
        <f t="shared" si="15"/>
        <v>54136</v>
      </c>
      <c r="V30" s="181"/>
      <c r="W30" s="182"/>
      <c r="X30" s="182"/>
    </row>
    <row r="31" spans="1:24" ht="12">
      <c r="A31" s="152" t="s">
        <v>115</v>
      </c>
      <c r="B31" s="180">
        <f aca="true" t="shared" si="16" ref="B31:U31">+B27+B23+B19+B15+B11</f>
        <v>551</v>
      </c>
      <c r="C31" s="180">
        <f t="shared" si="16"/>
        <v>193</v>
      </c>
      <c r="D31" s="180">
        <f t="shared" si="16"/>
        <v>84</v>
      </c>
      <c r="E31" s="180">
        <f t="shared" si="16"/>
        <v>611</v>
      </c>
      <c r="F31" s="180">
        <f t="shared" si="16"/>
        <v>3481</v>
      </c>
      <c r="G31" s="180">
        <f t="shared" si="16"/>
        <v>801</v>
      </c>
      <c r="H31" s="180">
        <f t="shared" si="16"/>
        <v>3342</v>
      </c>
      <c r="I31" s="180">
        <f t="shared" si="16"/>
        <v>4349</v>
      </c>
      <c r="J31" s="180">
        <f t="shared" si="16"/>
        <v>5509</v>
      </c>
      <c r="K31" s="180">
        <f t="shared" si="16"/>
        <v>1209</v>
      </c>
      <c r="L31" s="180">
        <f t="shared" si="16"/>
        <v>1235</v>
      </c>
      <c r="M31" s="180">
        <f t="shared" si="16"/>
        <v>497</v>
      </c>
      <c r="N31" s="180">
        <f t="shared" si="16"/>
        <v>510</v>
      </c>
      <c r="O31" s="180">
        <f t="shared" si="16"/>
        <v>2118</v>
      </c>
      <c r="P31" s="180">
        <f t="shared" si="16"/>
        <v>2175</v>
      </c>
      <c r="Q31" s="180">
        <f t="shared" si="16"/>
        <v>465</v>
      </c>
      <c r="R31" s="180">
        <f t="shared" si="16"/>
        <v>2744</v>
      </c>
      <c r="S31" s="180">
        <f t="shared" si="16"/>
        <v>213</v>
      </c>
      <c r="T31" s="180">
        <f t="shared" si="16"/>
        <v>95</v>
      </c>
      <c r="U31" s="180">
        <f t="shared" si="16"/>
        <v>30182</v>
      </c>
      <c r="V31" s="181"/>
      <c r="W31" s="182"/>
      <c r="X31" s="182"/>
    </row>
    <row r="32" spans="1:66" ht="12">
      <c r="A32" s="152" t="s">
        <v>107</v>
      </c>
      <c r="B32" s="217">
        <f aca="true" t="shared" si="17" ref="B32:U32">+B30+B31</f>
        <v>1437</v>
      </c>
      <c r="C32" s="157">
        <f t="shared" si="17"/>
        <v>768</v>
      </c>
      <c r="D32" s="157">
        <f t="shared" si="17"/>
        <v>455</v>
      </c>
      <c r="E32" s="217">
        <f t="shared" si="17"/>
        <v>1259</v>
      </c>
      <c r="F32" s="217">
        <f t="shared" si="17"/>
        <v>9453</v>
      </c>
      <c r="G32" s="157">
        <f t="shared" si="17"/>
        <v>3095</v>
      </c>
      <c r="H32" s="157">
        <f t="shared" si="17"/>
        <v>8812</v>
      </c>
      <c r="I32" s="157">
        <f t="shared" si="17"/>
        <v>11389</v>
      </c>
      <c r="J32" s="157">
        <f t="shared" si="17"/>
        <v>13608</v>
      </c>
      <c r="K32" s="157">
        <f t="shared" si="17"/>
        <v>3298</v>
      </c>
      <c r="L32" s="157">
        <f t="shared" si="17"/>
        <v>5850</v>
      </c>
      <c r="M32" s="157">
        <f t="shared" si="17"/>
        <v>1464</v>
      </c>
      <c r="N32" s="157">
        <f t="shared" si="17"/>
        <v>1897</v>
      </c>
      <c r="O32" s="157">
        <f t="shared" si="17"/>
        <v>5434</v>
      </c>
      <c r="P32" s="157">
        <f t="shared" si="17"/>
        <v>5983</v>
      </c>
      <c r="Q32" s="157">
        <f t="shared" si="17"/>
        <v>1373</v>
      </c>
      <c r="R32" s="157">
        <f t="shared" si="17"/>
        <v>7194</v>
      </c>
      <c r="S32" s="157">
        <f t="shared" si="17"/>
        <v>764</v>
      </c>
      <c r="T32" s="157">
        <f t="shared" si="17"/>
        <v>785</v>
      </c>
      <c r="U32" s="157">
        <f t="shared" si="17"/>
        <v>84318</v>
      </c>
      <c r="V32" s="158"/>
      <c r="W32" s="155"/>
      <c r="X32" s="155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</row>
    <row r="33" spans="2:22" s="136" customFormat="1" ht="12">
      <c r="B33" s="144"/>
      <c r="C33" s="144"/>
      <c r="E33" s="218"/>
      <c r="F33" s="144"/>
      <c r="G33" s="144"/>
      <c r="H33" s="144"/>
      <c r="I33" s="144"/>
      <c r="J33" s="144"/>
      <c r="K33" s="144" t="s">
        <v>114</v>
      </c>
      <c r="L33" s="144"/>
      <c r="M33" s="144"/>
      <c r="N33" s="144"/>
      <c r="O33" s="144"/>
      <c r="P33" s="207"/>
      <c r="Q33" s="144"/>
      <c r="R33" s="144"/>
      <c r="S33" s="144"/>
      <c r="T33" s="144"/>
      <c r="U33" s="144"/>
      <c r="V33" s="135"/>
    </row>
    <row r="34" spans="1:66" s="121" customFormat="1" ht="12">
      <c r="A34" s="146" t="s">
        <v>104</v>
      </c>
      <c r="B34" s="147"/>
      <c r="C34" s="147"/>
      <c r="D34" s="148"/>
      <c r="E34" s="169"/>
      <c r="F34" s="148"/>
      <c r="G34" s="148"/>
      <c r="H34" s="147"/>
      <c r="I34" s="148"/>
      <c r="J34" s="148"/>
      <c r="K34" s="147"/>
      <c r="L34" s="148"/>
      <c r="M34" s="148"/>
      <c r="N34" s="148"/>
      <c r="O34" s="148"/>
      <c r="P34" s="148"/>
      <c r="Q34" s="148"/>
      <c r="R34" s="147"/>
      <c r="S34" s="147"/>
      <c r="T34" s="147"/>
      <c r="U34" s="149"/>
      <c r="V34" s="150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</row>
    <row r="35" spans="1:66" ht="12">
      <c r="A35" s="152" t="s">
        <v>105</v>
      </c>
      <c r="B35" s="147"/>
      <c r="C35" s="153"/>
      <c r="D35" s="153"/>
      <c r="E35" s="219"/>
      <c r="F35" s="148"/>
      <c r="G35" s="154"/>
      <c r="H35" s="154"/>
      <c r="I35" s="148"/>
      <c r="J35" s="154"/>
      <c r="K35" s="154"/>
      <c r="L35" s="154"/>
      <c r="M35" s="154"/>
      <c r="N35" s="148"/>
      <c r="O35" s="148">
        <v>71</v>
      </c>
      <c r="P35" s="154"/>
      <c r="Q35" s="154"/>
      <c r="R35" s="147"/>
      <c r="S35" s="147"/>
      <c r="T35" s="154"/>
      <c r="U35" s="149">
        <f>SUM(B35:T35)</f>
        <v>71</v>
      </c>
      <c r="V35" s="150"/>
      <c r="W35" s="155"/>
      <c r="X35" s="155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</row>
    <row r="36" spans="1:66" ht="12">
      <c r="A36" s="152" t="s">
        <v>115</v>
      </c>
      <c r="B36" s="147">
        <v>64</v>
      </c>
      <c r="C36" s="153"/>
      <c r="D36" s="153">
        <v>16</v>
      </c>
      <c r="E36" s="219">
        <v>46</v>
      </c>
      <c r="F36" s="148">
        <v>202</v>
      </c>
      <c r="G36" s="154">
        <v>65</v>
      </c>
      <c r="H36" s="148">
        <v>604</v>
      </c>
      <c r="I36" s="148">
        <v>638</v>
      </c>
      <c r="J36" s="148">
        <v>603</v>
      </c>
      <c r="K36" s="154">
        <v>30</v>
      </c>
      <c r="L36" s="154">
        <v>88</v>
      </c>
      <c r="M36" s="154">
        <v>20</v>
      </c>
      <c r="N36" s="148">
        <v>30</v>
      </c>
      <c r="O36" s="154">
        <v>53</v>
      </c>
      <c r="P36" s="148">
        <v>202</v>
      </c>
      <c r="Q36" s="154">
        <v>57</v>
      </c>
      <c r="R36" s="147">
        <v>278</v>
      </c>
      <c r="S36" s="147">
        <v>18</v>
      </c>
      <c r="T36" s="154">
        <v>2</v>
      </c>
      <c r="U36" s="149">
        <f>SUM(B36:T36)</f>
        <v>3016</v>
      </c>
      <c r="V36" s="150"/>
      <c r="W36" s="155"/>
      <c r="X36" s="155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</row>
    <row r="37" spans="1:66" ht="12">
      <c r="A37" s="152" t="s">
        <v>107</v>
      </c>
      <c r="B37" s="157">
        <f aca="true" t="shared" si="18" ref="B37:U37">+B35+B36</f>
        <v>64</v>
      </c>
      <c r="C37" s="157">
        <f t="shared" si="18"/>
        <v>0</v>
      </c>
      <c r="D37" s="157">
        <f t="shared" si="18"/>
        <v>16</v>
      </c>
      <c r="E37" s="217">
        <f t="shared" si="18"/>
        <v>46</v>
      </c>
      <c r="F37" s="157">
        <f t="shared" si="18"/>
        <v>202</v>
      </c>
      <c r="G37" s="157">
        <f t="shared" si="18"/>
        <v>65</v>
      </c>
      <c r="H37" s="157">
        <f t="shared" si="18"/>
        <v>604</v>
      </c>
      <c r="I37" s="157">
        <f t="shared" si="18"/>
        <v>638</v>
      </c>
      <c r="J37" s="157">
        <f t="shared" si="18"/>
        <v>603</v>
      </c>
      <c r="K37" s="157">
        <f t="shared" si="18"/>
        <v>30</v>
      </c>
      <c r="L37" s="157">
        <f t="shared" si="18"/>
        <v>88</v>
      </c>
      <c r="M37" s="157">
        <f t="shared" si="18"/>
        <v>20</v>
      </c>
      <c r="N37" s="157">
        <f t="shared" si="18"/>
        <v>30</v>
      </c>
      <c r="O37" s="157">
        <f t="shared" si="18"/>
        <v>124</v>
      </c>
      <c r="P37" s="157">
        <f t="shared" si="18"/>
        <v>202</v>
      </c>
      <c r="Q37" s="157">
        <f t="shared" si="18"/>
        <v>57</v>
      </c>
      <c r="R37" s="157">
        <f t="shared" si="18"/>
        <v>278</v>
      </c>
      <c r="S37" s="157">
        <f t="shared" si="18"/>
        <v>18</v>
      </c>
      <c r="T37" s="157">
        <f t="shared" si="18"/>
        <v>2</v>
      </c>
      <c r="U37" s="157">
        <f t="shared" si="18"/>
        <v>3087</v>
      </c>
      <c r="V37" s="158"/>
      <c r="W37" s="155"/>
      <c r="X37" s="155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</row>
    <row r="38" spans="1:66" ht="12">
      <c r="A38" s="146" t="s">
        <v>108</v>
      </c>
      <c r="B38" s="147"/>
      <c r="C38" s="148"/>
      <c r="D38" s="148"/>
      <c r="E38" s="169"/>
      <c r="F38" s="148"/>
      <c r="G38" s="148"/>
      <c r="H38" s="147"/>
      <c r="I38" s="148"/>
      <c r="J38" s="148"/>
      <c r="K38" s="147"/>
      <c r="L38" s="148"/>
      <c r="M38" s="148"/>
      <c r="N38" s="148"/>
      <c r="O38" s="148"/>
      <c r="P38" s="148"/>
      <c r="Q38" s="148"/>
      <c r="R38" s="147"/>
      <c r="S38" s="147"/>
      <c r="T38" s="147"/>
      <c r="U38" s="149"/>
      <c r="V38" s="158"/>
      <c r="W38" s="155"/>
      <c r="X38" s="155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</row>
    <row r="39" spans="1:66" ht="12">
      <c r="A39" s="152" t="s">
        <v>105</v>
      </c>
      <c r="B39" s="147"/>
      <c r="C39" s="153"/>
      <c r="D39" s="153"/>
      <c r="E39" s="219"/>
      <c r="F39" s="148"/>
      <c r="G39" s="154"/>
      <c r="H39" s="154"/>
      <c r="I39" s="148"/>
      <c r="J39" s="154"/>
      <c r="K39" s="154"/>
      <c r="L39" s="154"/>
      <c r="M39" s="154"/>
      <c r="N39" s="148"/>
      <c r="O39" s="148"/>
      <c r="P39" s="154"/>
      <c r="Q39" s="154"/>
      <c r="R39" s="147"/>
      <c r="S39" s="147"/>
      <c r="T39" s="154"/>
      <c r="U39" s="149">
        <f>SUM(B39:T39)</f>
        <v>0</v>
      </c>
      <c r="V39" s="158"/>
      <c r="W39" s="155"/>
      <c r="X39" s="155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</row>
    <row r="40" spans="1:66" s="162" customFormat="1" ht="12">
      <c r="A40" s="152" t="s">
        <v>115</v>
      </c>
      <c r="B40" s="147">
        <v>1</v>
      </c>
      <c r="C40" s="153"/>
      <c r="D40" s="153"/>
      <c r="E40" s="219"/>
      <c r="F40" s="148">
        <v>2</v>
      </c>
      <c r="G40" s="154"/>
      <c r="H40" s="148"/>
      <c r="I40" s="148">
        <v>4</v>
      </c>
      <c r="J40" s="148"/>
      <c r="K40" s="154"/>
      <c r="L40" s="154">
        <v>1</v>
      </c>
      <c r="M40" s="154">
        <v>1</v>
      </c>
      <c r="N40" s="148"/>
      <c r="O40" s="154">
        <v>0</v>
      </c>
      <c r="P40" s="148"/>
      <c r="Q40" s="154"/>
      <c r="R40" s="147">
        <v>1</v>
      </c>
      <c r="S40" s="147">
        <v>1</v>
      </c>
      <c r="T40" s="154"/>
      <c r="U40" s="149">
        <f>SUM(B40:T40)</f>
        <v>11</v>
      </c>
      <c r="V40" s="160"/>
      <c r="W40" s="155"/>
      <c r="X40" s="155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</row>
    <row r="41" spans="1:66" ht="12">
      <c r="A41" s="152" t="s">
        <v>107</v>
      </c>
      <c r="B41" s="157">
        <f aca="true" t="shared" si="19" ref="B41:U41">+B39+B40</f>
        <v>1</v>
      </c>
      <c r="C41" s="157">
        <f t="shared" si="19"/>
        <v>0</v>
      </c>
      <c r="D41" s="157">
        <f t="shared" si="19"/>
        <v>0</v>
      </c>
      <c r="E41" s="217">
        <f t="shared" si="19"/>
        <v>0</v>
      </c>
      <c r="F41" s="157">
        <f t="shared" si="19"/>
        <v>2</v>
      </c>
      <c r="G41" s="157">
        <f t="shared" si="19"/>
        <v>0</v>
      </c>
      <c r="H41" s="157">
        <f t="shared" si="19"/>
        <v>0</v>
      </c>
      <c r="I41" s="157">
        <f t="shared" si="19"/>
        <v>4</v>
      </c>
      <c r="J41" s="157">
        <f t="shared" si="19"/>
        <v>0</v>
      </c>
      <c r="K41" s="157">
        <f t="shared" si="19"/>
        <v>0</v>
      </c>
      <c r="L41" s="157">
        <f t="shared" si="19"/>
        <v>1</v>
      </c>
      <c r="M41" s="157">
        <f t="shared" si="19"/>
        <v>1</v>
      </c>
      <c r="N41" s="157">
        <f t="shared" si="19"/>
        <v>0</v>
      </c>
      <c r="O41" s="157">
        <f t="shared" si="19"/>
        <v>0</v>
      </c>
      <c r="P41" s="157">
        <f t="shared" si="19"/>
        <v>0</v>
      </c>
      <c r="Q41" s="157">
        <f t="shared" si="19"/>
        <v>0</v>
      </c>
      <c r="R41" s="157">
        <f t="shared" si="19"/>
        <v>1</v>
      </c>
      <c r="S41" s="157">
        <f t="shared" si="19"/>
        <v>1</v>
      </c>
      <c r="T41" s="157">
        <f t="shared" si="19"/>
        <v>0</v>
      </c>
      <c r="U41" s="157">
        <f t="shared" si="19"/>
        <v>11</v>
      </c>
      <c r="V41" s="158"/>
      <c r="W41" s="155"/>
      <c r="X41" s="155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</row>
    <row r="42" spans="1:66" s="166" customFormat="1" ht="12">
      <c r="A42" s="146" t="s">
        <v>109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48"/>
      <c r="S42" s="163"/>
      <c r="T42" s="163"/>
      <c r="U42" s="149"/>
      <c r="V42" s="164"/>
      <c r="W42" s="155"/>
      <c r="X42" s="15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</row>
    <row r="43" spans="1:66" ht="13.5" customHeight="1">
      <c r="A43" s="152" t="s">
        <v>105</v>
      </c>
      <c r="B43" s="147">
        <v>471</v>
      </c>
      <c r="C43" s="153">
        <v>66</v>
      </c>
      <c r="D43" s="153">
        <v>191</v>
      </c>
      <c r="E43" s="219">
        <v>140</v>
      </c>
      <c r="F43" s="148">
        <v>2355</v>
      </c>
      <c r="G43" s="154">
        <v>72</v>
      </c>
      <c r="H43" s="154">
        <v>224</v>
      </c>
      <c r="I43" s="148">
        <v>3385</v>
      </c>
      <c r="J43" s="154">
        <v>2135</v>
      </c>
      <c r="K43" s="154">
        <v>391</v>
      </c>
      <c r="L43" s="154">
        <v>745</v>
      </c>
      <c r="M43" s="154">
        <v>54</v>
      </c>
      <c r="N43" s="148">
        <v>186</v>
      </c>
      <c r="O43" s="148">
        <v>256</v>
      </c>
      <c r="P43" s="220">
        <v>1581</v>
      </c>
      <c r="Q43" s="154">
        <v>528</v>
      </c>
      <c r="R43" s="147">
        <v>1330</v>
      </c>
      <c r="S43" s="147">
        <v>175</v>
      </c>
      <c r="T43" s="154">
        <v>78</v>
      </c>
      <c r="U43" s="149">
        <f>SUM(B43:T43)</f>
        <v>14363</v>
      </c>
      <c r="V43" s="167"/>
      <c r="W43" s="168"/>
      <c r="X43" s="168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</row>
    <row r="44" spans="1:38" ht="12">
      <c r="A44" s="152" t="s">
        <v>115</v>
      </c>
      <c r="B44" s="147">
        <v>266</v>
      </c>
      <c r="C44" s="153">
        <v>14</v>
      </c>
      <c r="D44" s="153">
        <v>41</v>
      </c>
      <c r="E44" s="219">
        <v>116</v>
      </c>
      <c r="F44" s="148">
        <v>1483</v>
      </c>
      <c r="G44" s="154">
        <v>48</v>
      </c>
      <c r="H44" s="148">
        <v>439</v>
      </c>
      <c r="I44" s="148">
        <v>1851</v>
      </c>
      <c r="J44" s="148">
        <v>1289</v>
      </c>
      <c r="K44" s="154">
        <v>156</v>
      </c>
      <c r="L44" s="154">
        <v>184</v>
      </c>
      <c r="M44" s="154">
        <v>34</v>
      </c>
      <c r="N44" s="148">
        <v>72</v>
      </c>
      <c r="O44" s="154">
        <v>187</v>
      </c>
      <c r="P44" s="148">
        <v>943</v>
      </c>
      <c r="Q44" s="154">
        <v>226</v>
      </c>
      <c r="R44" s="147">
        <v>762</v>
      </c>
      <c r="S44" s="147">
        <v>97</v>
      </c>
      <c r="T44" s="154">
        <v>11</v>
      </c>
      <c r="U44" s="149">
        <f>SUM(B44:T44)</f>
        <v>8219</v>
      </c>
      <c r="V44" s="167"/>
      <c r="W44" s="168"/>
      <c r="X44" s="168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</row>
    <row r="45" spans="1:66" ht="12">
      <c r="A45" s="152" t="s">
        <v>107</v>
      </c>
      <c r="B45" s="157">
        <f aca="true" t="shared" si="20" ref="B45:U45">+B43+B44</f>
        <v>737</v>
      </c>
      <c r="C45" s="157">
        <f t="shared" si="20"/>
        <v>80</v>
      </c>
      <c r="D45" s="157">
        <f t="shared" si="20"/>
        <v>232</v>
      </c>
      <c r="E45" s="217">
        <f t="shared" si="20"/>
        <v>256</v>
      </c>
      <c r="F45" s="157">
        <f t="shared" si="20"/>
        <v>3838</v>
      </c>
      <c r="G45" s="157">
        <f t="shared" si="20"/>
        <v>120</v>
      </c>
      <c r="H45" s="157">
        <f t="shared" si="20"/>
        <v>663</v>
      </c>
      <c r="I45" s="157">
        <f t="shared" si="20"/>
        <v>5236</v>
      </c>
      <c r="J45" s="157">
        <f t="shared" si="20"/>
        <v>3424</v>
      </c>
      <c r="K45" s="157">
        <f t="shared" si="20"/>
        <v>547</v>
      </c>
      <c r="L45" s="157">
        <f t="shared" si="20"/>
        <v>929</v>
      </c>
      <c r="M45" s="157">
        <f t="shared" si="20"/>
        <v>88</v>
      </c>
      <c r="N45" s="157">
        <f t="shared" si="20"/>
        <v>258</v>
      </c>
      <c r="O45" s="157">
        <f t="shared" si="20"/>
        <v>443</v>
      </c>
      <c r="P45" s="157">
        <f t="shared" si="20"/>
        <v>2524</v>
      </c>
      <c r="Q45" s="157">
        <f t="shared" si="20"/>
        <v>754</v>
      </c>
      <c r="R45" s="157">
        <f t="shared" si="20"/>
        <v>2092</v>
      </c>
      <c r="S45" s="157">
        <f t="shared" si="20"/>
        <v>272</v>
      </c>
      <c r="T45" s="157">
        <f t="shared" si="20"/>
        <v>89</v>
      </c>
      <c r="U45" s="157">
        <f t="shared" si="20"/>
        <v>22582</v>
      </c>
      <c r="V45" s="158"/>
      <c r="W45" s="155"/>
      <c r="X45" s="155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</row>
    <row r="46" spans="1:38" ht="24">
      <c r="A46" s="146" t="s">
        <v>117</v>
      </c>
      <c r="B46" s="169"/>
      <c r="C46" s="170"/>
      <c r="D46" s="170"/>
      <c r="E46" s="170"/>
      <c r="F46" s="169"/>
      <c r="G46" s="169"/>
      <c r="H46" s="171"/>
      <c r="I46" s="169"/>
      <c r="J46" s="172"/>
      <c r="K46" s="170"/>
      <c r="L46" s="172"/>
      <c r="M46" s="172"/>
      <c r="N46" s="170"/>
      <c r="O46" s="169"/>
      <c r="P46" s="172"/>
      <c r="Q46" s="170"/>
      <c r="R46" s="169"/>
      <c r="S46" s="169"/>
      <c r="T46" s="169"/>
      <c r="U46" s="149"/>
      <c r="V46" s="171"/>
      <c r="W46" s="171"/>
      <c r="X46" s="171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</row>
    <row r="47" spans="1:38" ht="12">
      <c r="A47" s="152" t="s">
        <v>105</v>
      </c>
      <c r="B47" s="147">
        <v>100</v>
      </c>
      <c r="C47" s="153"/>
      <c r="D47" s="153">
        <v>46</v>
      </c>
      <c r="E47" s="219">
        <v>48</v>
      </c>
      <c r="F47" s="148">
        <v>595</v>
      </c>
      <c r="G47" s="154">
        <v>7</v>
      </c>
      <c r="H47" s="148">
        <v>147</v>
      </c>
      <c r="I47" s="148">
        <v>1360</v>
      </c>
      <c r="J47" s="154">
        <v>798</v>
      </c>
      <c r="K47" s="154">
        <v>49</v>
      </c>
      <c r="L47" s="154">
        <v>16</v>
      </c>
      <c r="M47" s="154">
        <v>52</v>
      </c>
      <c r="N47" s="148">
        <v>92</v>
      </c>
      <c r="O47" s="148">
        <v>43</v>
      </c>
      <c r="P47" s="154">
        <v>578</v>
      </c>
      <c r="Q47" s="154">
        <v>66</v>
      </c>
      <c r="R47" s="147">
        <v>375</v>
      </c>
      <c r="S47" s="147">
        <v>103</v>
      </c>
      <c r="T47" s="154">
        <v>29</v>
      </c>
      <c r="U47" s="149">
        <f>SUM(B47:T47)</f>
        <v>4504</v>
      </c>
      <c r="V47" s="150"/>
      <c r="W47" s="150"/>
      <c r="X47" s="150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</row>
    <row r="48" spans="1:38" ht="12">
      <c r="A48" s="152" t="s">
        <v>115</v>
      </c>
      <c r="B48" s="147">
        <v>25</v>
      </c>
      <c r="C48" s="153"/>
      <c r="D48" s="153">
        <v>7</v>
      </c>
      <c r="E48" s="219">
        <v>20</v>
      </c>
      <c r="F48" s="148">
        <v>198</v>
      </c>
      <c r="G48" s="154"/>
      <c r="H48" s="148">
        <v>104</v>
      </c>
      <c r="I48" s="148">
        <v>704</v>
      </c>
      <c r="J48" s="148">
        <v>299</v>
      </c>
      <c r="K48" s="154">
        <v>12</v>
      </c>
      <c r="L48" s="154">
        <v>1</v>
      </c>
      <c r="M48" s="154">
        <v>8</v>
      </c>
      <c r="N48" s="148">
        <v>18</v>
      </c>
      <c r="O48" s="154">
        <v>18</v>
      </c>
      <c r="P48" s="148">
        <v>174</v>
      </c>
      <c r="Q48" s="154">
        <v>11</v>
      </c>
      <c r="R48" s="147">
        <v>118</v>
      </c>
      <c r="S48" s="147">
        <v>27</v>
      </c>
      <c r="T48" s="154">
        <v>4</v>
      </c>
      <c r="U48" s="149">
        <f>SUM(B48:T48)</f>
        <v>1748</v>
      </c>
      <c r="V48" s="164"/>
      <c r="W48" s="160"/>
      <c r="X48" s="160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</row>
    <row r="49" spans="1:66" ht="12">
      <c r="A49" s="152" t="s">
        <v>107</v>
      </c>
      <c r="B49" s="157">
        <f aca="true" t="shared" si="21" ref="B49:U49">+B47+B48</f>
        <v>125</v>
      </c>
      <c r="C49" s="157">
        <f t="shared" si="21"/>
        <v>0</v>
      </c>
      <c r="D49" s="157">
        <f t="shared" si="21"/>
        <v>53</v>
      </c>
      <c r="E49" s="217">
        <f t="shared" si="21"/>
        <v>68</v>
      </c>
      <c r="F49" s="157">
        <f t="shared" si="21"/>
        <v>793</v>
      </c>
      <c r="G49" s="157">
        <f t="shared" si="21"/>
        <v>7</v>
      </c>
      <c r="H49" s="157">
        <f t="shared" si="21"/>
        <v>251</v>
      </c>
      <c r="I49" s="157">
        <f t="shared" si="21"/>
        <v>2064</v>
      </c>
      <c r="J49" s="157">
        <f t="shared" si="21"/>
        <v>1097</v>
      </c>
      <c r="K49" s="157">
        <f t="shared" si="21"/>
        <v>61</v>
      </c>
      <c r="L49" s="157">
        <f t="shared" si="21"/>
        <v>17</v>
      </c>
      <c r="M49" s="157">
        <f t="shared" si="21"/>
        <v>60</v>
      </c>
      <c r="N49" s="157">
        <f t="shared" si="21"/>
        <v>110</v>
      </c>
      <c r="O49" s="157">
        <f t="shared" si="21"/>
        <v>61</v>
      </c>
      <c r="P49" s="157">
        <f t="shared" si="21"/>
        <v>752</v>
      </c>
      <c r="Q49" s="157">
        <f t="shared" si="21"/>
        <v>77</v>
      </c>
      <c r="R49" s="157">
        <f t="shared" si="21"/>
        <v>493</v>
      </c>
      <c r="S49" s="157">
        <f t="shared" si="21"/>
        <v>130</v>
      </c>
      <c r="T49" s="157">
        <f t="shared" si="21"/>
        <v>33</v>
      </c>
      <c r="U49" s="157">
        <f t="shared" si="21"/>
        <v>6252</v>
      </c>
      <c r="V49" s="158"/>
      <c r="W49" s="155"/>
      <c r="X49" s="155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</row>
    <row r="50" spans="1:66" ht="12">
      <c r="A50" s="146" t="s">
        <v>111</v>
      </c>
      <c r="B50" s="173"/>
      <c r="C50" s="173"/>
      <c r="D50" s="173"/>
      <c r="E50" s="16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49"/>
      <c r="V50" s="158"/>
      <c r="W50" s="155"/>
      <c r="X50" s="155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</row>
    <row r="51" spans="1:66" ht="12">
      <c r="A51" s="152" t="s">
        <v>105</v>
      </c>
      <c r="B51" s="147"/>
      <c r="C51" s="153">
        <v>208</v>
      </c>
      <c r="D51" s="153"/>
      <c r="E51" s="219"/>
      <c r="F51" s="148"/>
      <c r="G51" s="154">
        <v>600</v>
      </c>
      <c r="H51" s="220">
        <v>1761</v>
      </c>
      <c r="I51" s="148">
        <v>370</v>
      </c>
      <c r="J51" s="154"/>
      <c r="K51" s="154"/>
      <c r="L51" s="154">
        <v>923</v>
      </c>
      <c r="M51" s="154">
        <v>216</v>
      </c>
      <c r="N51" s="148"/>
      <c r="O51" s="148"/>
      <c r="P51" s="154"/>
      <c r="Q51" s="154"/>
      <c r="R51" s="147"/>
      <c r="S51" s="147"/>
      <c r="T51" s="154"/>
      <c r="U51" s="149">
        <f>SUM(B51:T51)</f>
        <v>4078</v>
      </c>
      <c r="V51" s="158"/>
      <c r="W51" s="155"/>
      <c r="X51" s="155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</row>
    <row r="52" spans="1:66" ht="12">
      <c r="A52" s="152" t="s">
        <v>115</v>
      </c>
      <c r="B52" s="147"/>
      <c r="C52" s="153">
        <v>88</v>
      </c>
      <c r="D52" s="153"/>
      <c r="E52" s="219"/>
      <c r="F52" s="148"/>
      <c r="G52" s="154">
        <v>151</v>
      </c>
      <c r="H52" s="148">
        <v>255</v>
      </c>
      <c r="I52" s="148">
        <v>257</v>
      </c>
      <c r="J52" s="148"/>
      <c r="K52" s="154"/>
      <c r="L52" s="154">
        <v>284</v>
      </c>
      <c r="M52" s="154">
        <v>114</v>
      </c>
      <c r="N52" s="148"/>
      <c r="O52" s="154"/>
      <c r="P52" s="148"/>
      <c r="Q52" s="154"/>
      <c r="R52" s="147"/>
      <c r="S52" s="147"/>
      <c r="T52" s="154"/>
      <c r="U52" s="149">
        <f>SUM(B52:T52)</f>
        <v>1149</v>
      </c>
      <c r="V52" s="158"/>
      <c r="W52" s="155"/>
      <c r="X52" s="155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</row>
    <row r="53" spans="1:66" ht="12">
      <c r="A53" s="152" t="s">
        <v>107</v>
      </c>
      <c r="B53" s="157">
        <f aca="true" t="shared" si="22" ref="B53:U53">+B51+B52</f>
        <v>0</v>
      </c>
      <c r="C53" s="157">
        <f t="shared" si="22"/>
        <v>296</v>
      </c>
      <c r="D53" s="157">
        <f t="shared" si="22"/>
        <v>0</v>
      </c>
      <c r="E53" s="217">
        <f t="shared" si="22"/>
        <v>0</v>
      </c>
      <c r="F53" s="157">
        <f t="shared" si="22"/>
        <v>0</v>
      </c>
      <c r="G53" s="157">
        <f t="shared" si="22"/>
        <v>751</v>
      </c>
      <c r="H53" s="157">
        <f t="shared" si="22"/>
        <v>2016</v>
      </c>
      <c r="I53" s="157">
        <f t="shared" si="22"/>
        <v>627</v>
      </c>
      <c r="J53" s="157">
        <f t="shared" si="22"/>
        <v>0</v>
      </c>
      <c r="K53" s="157">
        <f t="shared" si="22"/>
        <v>0</v>
      </c>
      <c r="L53" s="157">
        <f t="shared" si="22"/>
        <v>1207</v>
      </c>
      <c r="M53" s="157">
        <f t="shared" si="22"/>
        <v>330</v>
      </c>
      <c r="N53" s="157">
        <f t="shared" si="22"/>
        <v>0</v>
      </c>
      <c r="O53" s="157">
        <f t="shared" si="22"/>
        <v>0</v>
      </c>
      <c r="P53" s="157">
        <f t="shared" si="22"/>
        <v>0</v>
      </c>
      <c r="Q53" s="157">
        <f t="shared" si="22"/>
        <v>0</v>
      </c>
      <c r="R53" s="157">
        <f t="shared" si="22"/>
        <v>0</v>
      </c>
      <c r="S53" s="157">
        <f t="shared" si="22"/>
        <v>0</v>
      </c>
      <c r="T53" s="157">
        <f t="shared" si="22"/>
        <v>0</v>
      </c>
      <c r="U53" s="157">
        <f t="shared" si="22"/>
        <v>5227</v>
      </c>
      <c r="V53" s="158"/>
      <c r="W53" s="155"/>
      <c r="X53" s="155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</row>
    <row r="54" spans="1:38" ht="12">
      <c r="A54" s="146" t="s">
        <v>112</v>
      </c>
      <c r="B54" s="178"/>
      <c r="C54" s="178"/>
      <c r="D54" s="178"/>
      <c r="E54" s="216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9"/>
      <c r="V54" s="150"/>
      <c r="W54" s="155"/>
      <c r="X54" s="155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</row>
    <row r="55" spans="1:24" ht="12">
      <c r="A55" s="152" t="s">
        <v>105</v>
      </c>
      <c r="B55" s="180">
        <f aca="true" t="shared" si="23" ref="B55:U55">+B51+B47+B43+B39+B35</f>
        <v>571</v>
      </c>
      <c r="C55" s="180">
        <f t="shared" si="23"/>
        <v>274</v>
      </c>
      <c r="D55" s="180">
        <f t="shared" si="23"/>
        <v>237</v>
      </c>
      <c r="E55" s="180">
        <f t="shared" si="23"/>
        <v>188</v>
      </c>
      <c r="F55" s="180">
        <f t="shared" si="23"/>
        <v>2950</v>
      </c>
      <c r="G55" s="180">
        <f t="shared" si="23"/>
        <v>679</v>
      </c>
      <c r="H55" s="180">
        <f t="shared" si="23"/>
        <v>2132</v>
      </c>
      <c r="I55" s="180">
        <f t="shared" si="23"/>
        <v>5115</v>
      </c>
      <c r="J55" s="180">
        <f t="shared" si="23"/>
        <v>2933</v>
      </c>
      <c r="K55" s="180">
        <f t="shared" si="23"/>
        <v>440</v>
      </c>
      <c r="L55" s="180">
        <f t="shared" si="23"/>
        <v>1684</v>
      </c>
      <c r="M55" s="180">
        <f t="shared" si="23"/>
        <v>322</v>
      </c>
      <c r="N55" s="180">
        <f t="shared" si="23"/>
        <v>278</v>
      </c>
      <c r="O55" s="180">
        <f t="shared" si="23"/>
        <v>370</v>
      </c>
      <c r="P55" s="180">
        <f t="shared" si="23"/>
        <v>2159</v>
      </c>
      <c r="Q55" s="180">
        <f t="shared" si="23"/>
        <v>594</v>
      </c>
      <c r="R55" s="180">
        <f t="shared" si="23"/>
        <v>1705</v>
      </c>
      <c r="S55" s="180">
        <f t="shared" si="23"/>
        <v>278</v>
      </c>
      <c r="T55" s="180">
        <f t="shared" si="23"/>
        <v>107</v>
      </c>
      <c r="U55" s="180">
        <f t="shared" si="23"/>
        <v>23016</v>
      </c>
      <c r="V55" s="181"/>
      <c r="W55" s="182"/>
      <c r="X55" s="182"/>
    </row>
    <row r="56" spans="1:24" ht="12">
      <c r="A56" s="152" t="s">
        <v>115</v>
      </c>
      <c r="B56" s="180">
        <f aca="true" t="shared" si="24" ref="B56:U56">+B52+B48+B44+B40+B36</f>
        <v>356</v>
      </c>
      <c r="C56" s="180">
        <f t="shared" si="24"/>
        <v>102</v>
      </c>
      <c r="D56" s="180">
        <f t="shared" si="24"/>
        <v>64</v>
      </c>
      <c r="E56" s="180">
        <f t="shared" si="24"/>
        <v>182</v>
      </c>
      <c r="F56" s="180">
        <f t="shared" si="24"/>
        <v>1885</v>
      </c>
      <c r="G56" s="180">
        <f t="shared" si="24"/>
        <v>264</v>
      </c>
      <c r="H56" s="180">
        <f t="shared" si="24"/>
        <v>1402</v>
      </c>
      <c r="I56" s="180">
        <f t="shared" si="24"/>
        <v>3454</v>
      </c>
      <c r="J56" s="180">
        <f t="shared" si="24"/>
        <v>2191</v>
      </c>
      <c r="K56" s="180">
        <f t="shared" si="24"/>
        <v>198</v>
      </c>
      <c r="L56" s="180">
        <f t="shared" si="24"/>
        <v>558</v>
      </c>
      <c r="M56" s="180">
        <f t="shared" si="24"/>
        <v>177</v>
      </c>
      <c r="N56" s="180">
        <f t="shared" si="24"/>
        <v>120</v>
      </c>
      <c r="O56" s="180">
        <f t="shared" si="24"/>
        <v>258</v>
      </c>
      <c r="P56" s="180">
        <f t="shared" si="24"/>
        <v>1319</v>
      </c>
      <c r="Q56" s="180">
        <f t="shared" si="24"/>
        <v>294</v>
      </c>
      <c r="R56" s="180">
        <f t="shared" si="24"/>
        <v>1159</v>
      </c>
      <c r="S56" s="180">
        <f t="shared" si="24"/>
        <v>143</v>
      </c>
      <c r="T56" s="180">
        <f t="shared" si="24"/>
        <v>17</v>
      </c>
      <c r="U56" s="180">
        <f t="shared" si="24"/>
        <v>14143</v>
      </c>
      <c r="V56" s="181"/>
      <c r="W56" s="182"/>
      <c r="X56" s="182"/>
    </row>
    <row r="57" spans="1:80" ht="12">
      <c r="A57" s="152" t="s">
        <v>107</v>
      </c>
      <c r="B57" s="217">
        <f aca="true" t="shared" si="25" ref="B57:U57">+B55+B56</f>
        <v>927</v>
      </c>
      <c r="C57" s="157">
        <f t="shared" si="25"/>
        <v>376</v>
      </c>
      <c r="D57" s="157">
        <f t="shared" si="25"/>
        <v>301</v>
      </c>
      <c r="E57" s="217">
        <f t="shared" si="25"/>
        <v>370</v>
      </c>
      <c r="F57" s="217">
        <f t="shared" si="25"/>
        <v>4835</v>
      </c>
      <c r="G57" s="157">
        <f t="shared" si="25"/>
        <v>943</v>
      </c>
      <c r="H57" s="157">
        <f t="shared" si="25"/>
        <v>3534</v>
      </c>
      <c r="I57" s="157">
        <f t="shared" si="25"/>
        <v>8569</v>
      </c>
      <c r="J57" s="157">
        <f t="shared" si="25"/>
        <v>5124</v>
      </c>
      <c r="K57" s="157">
        <f t="shared" si="25"/>
        <v>638</v>
      </c>
      <c r="L57" s="157">
        <f t="shared" si="25"/>
        <v>2242</v>
      </c>
      <c r="M57" s="157">
        <f t="shared" si="25"/>
        <v>499</v>
      </c>
      <c r="N57" s="157">
        <f t="shared" si="25"/>
        <v>398</v>
      </c>
      <c r="O57" s="157">
        <f t="shared" si="25"/>
        <v>628</v>
      </c>
      <c r="P57" s="157">
        <f t="shared" si="25"/>
        <v>3478</v>
      </c>
      <c r="Q57" s="157">
        <f t="shared" si="25"/>
        <v>888</v>
      </c>
      <c r="R57" s="157">
        <f t="shared" si="25"/>
        <v>2864</v>
      </c>
      <c r="S57" s="157">
        <f t="shared" si="25"/>
        <v>421</v>
      </c>
      <c r="T57" s="157">
        <f t="shared" si="25"/>
        <v>124</v>
      </c>
      <c r="U57" s="157">
        <f t="shared" si="25"/>
        <v>37159</v>
      </c>
      <c r="V57" s="158"/>
      <c r="W57" s="155"/>
      <c r="X57" s="155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</row>
    <row r="58" spans="2:22" s="136" customFormat="1" ht="12">
      <c r="B58" s="144"/>
      <c r="C58" s="144"/>
      <c r="E58" s="218"/>
      <c r="F58" s="144"/>
      <c r="G58" s="144"/>
      <c r="H58" s="144"/>
      <c r="I58" s="144"/>
      <c r="J58" s="144"/>
      <c r="K58" s="144" t="s">
        <v>65</v>
      </c>
      <c r="L58" s="144"/>
      <c r="M58" s="144"/>
      <c r="N58" s="144"/>
      <c r="O58" s="144"/>
      <c r="P58" s="207"/>
      <c r="Q58" s="144"/>
      <c r="R58" s="144"/>
      <c r="S58" s="144"/>
      <c r="T58" s="144"/>
      <c r="U58" s="144"/>
      <c r="V58" s="135"/>
    </row>
    <row r="59" spans="1:66" s="121" customFormat="1" ht="12">
      <c r="A59" s="146" t="s">
        <v>104</v>
      </c>
      <c r="B59" s="147"/>
      <c r="C59" s="147"/>
      <c r="D59" s="148"/>
      <c r="E59" s="169"/>
      <c r="F59" s="148"/>
      <c r="G59" s="148"/>
      <c r="H59" s="147"/>
      <c r="I59" s="148"/>
      <c r="J59" s="148"/>
      <c r="K59" s="147"/>
      <c r="L59" s="148"/>
      <c r="M59" s="148"/>
      <c r="N59" s="148"/>
      <c r="O59" s="148"/>
      <c r="P59" s="148"/>
      <c r="Q59" s="148"/>
      <c r="R59" s="147"/>
      <c r="S59" s="147"/>
      <c r="T59" s="147"/>
      <c r="U59" s="149"/>
      <c r="V59" s="150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</row>
    <row r="60" spans="1:66" ht="12">
      <c r="A60" s="152" t="s">
        <v>105</v>
      </c>
      <c r="B60" s="147"/>
      <c r="C60" s="153"/>
      <c r="D60" s="153"/>
      <c r="E60" s="219">
        <v>1</v>
      </c>
      <c r="F60" s="148"/>
      <c r="G60" s="154"/>
      <c r="H60" s="154"/>
      <c r="I60" s="148"/>
      <c r="J60" s="154">
        <v>1</v>
      </c>
      <c r="K60" s="154"/>
      <c r="L60" s="154"/>
      <c r="M60" s="154"/>
      <c r="N60" s="148"/>
      <c r="O60" s="148">
        <v>750</v>
      </c>
      <c r="P60" s="154"/>
      <c r="Q60" s="154"/>
      <c r="R60" s="147"/>
      <c r="S60" s="147"/>
      <c r="T60" s="154"/>
      <c r="U60" s="149">
        <f>SUM(B60:T60)</f>
        <v>752</v>
      </c>
      <c r="V60" s="150"/>
      <c r="W60" s="155"/>
      <c r="X60" s="155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</row>
    <row r="61" spans="1:66" ht="12">
      <c r="A61" s="152" t="s">
        <v>115</v>
      </c>
      <c r="B61" s="147">
        <v>29</v>
      </c>
      <c r="C61" s="153"/>
      <c r="D61" s="153">
        <v>4</v>
      </c>
      <c r="E61" s="219">
        <v>133</v>
      </c>
      <c r="F61" s="148">
        <v>177</v>
      </c>
      <c r="G61" s="154">
        <v>157</v>
      </c>
      <c r="H61" s="148">
        <v>815</v>
      </c>
      <c r="I61" s="148">
        <v>143</v>
      </c>
      <c r="J61" s="148">
        <v>824</v>
      </c>
      <c r="K61" s="154">
        <v>203</v>
      </c>
      <c r="L61" s="154">
        <v>68</v>
      </c>
      <c r="M61" s="154">
        <v>47</v>
      </c>
      <c r="N61" s="148">
        <v>100</v>
      </c>
      <c r="O61" s="154">
        <v>657</v>
      </c>
      <c r="P61" s="148">
        <v>156</v>
      </c>
      <c r="Q61" s="154">
        <v>56</v>
      </c>
      <c r="R61" s="147">
        <v>319</v>
      </c>
      <c r="S61" s="147">
        <v>15</v>
      </c>
      <c r="T61" s="154">
        <v>10</v>
      </c>
      <c r="U61" s="149">
        <f>SUM(B61:T61)</f>
        <v>3913</v>
      </c>
      <c r="V61" s="150"/>
      <c r="W61" s="155"/>
      <c r="X61" s="155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</row>
    <row r="62" spans="1:66" ht="12">
      <c r="A62" s="152" t="s">
        <v>107</v>
      </c>
      <c r="B62" s="157">
        <f aca="true" t="shared" si="26" ref="B62:U62">+B60+B61</f>
        <v>29</v>
      </c>
      <c r="C62" s="157">
        <f t="shared" si="26"/>
        <v>0</v>
      </c>
      <c r="D62" s="157">
        <f t="shared" si="26"/>
        <v>4</v>
      </c>
      <c r="E62" s="217">
        <f t="shared" si="26"/>
        <v>134</v>
      </c>
      <c r="F62" s="157">
        <f t="shared" si="26"/>
        <v>177</v>
      </c>
      <c r="G62" s="157">
        <f t="shared" si="26"/>
        <v>157</v>
      </c>
      <c r="H62" s="157">
        <f t="shared" si="26"/>
        <v>815</v>
      </c>
      <c r="I62" s="157">
        <f t="shared" si="26"/>
        <v>143</v>
      </c>
      <c r="J62" s="157">
        <f t="shared" si="26"/>
        <v>825</v>
      </c>
      <c r="K62" s="157">
        <f t="shared" si="26"/>
        <v>203</v>
      </c>
      <c r="L62" s="157">
        <f t="shared" si="26"/>
        <v>68</v>
      </c>
      <c r="M62" s="157">
        <f t="shared" si="26"/>
        <v>47</v>
      </c>
      <c r="N62" s="157">
        <f t="shared" si="26"/>
        <v>100</v>
      </c>
      <c r="O62" s="157">
        <f t="shared" si="26"/>
        <v>1407</v>
      </c>
      <c r="P62" s="157">
        <f t="shared" si="26"/>
        <v>156</v>
      </c>
      <c r="Q62" s="157">
        <f t="shared" si="26"/>
        <v>56</v>
      </c>
      <c r="R62" s="157">
        <f t="shared" si="26"/>
        <v>319</v>
      </c>
      <c r="S62" s="157">
        <f t="shared" si="26"/>
        <v>15</v>
      </c>
      <c r="T62" s="157">
        <f t="shared" si="26"/>
        <v>10</v>
      </c>
      <c r="U62" s="157">
        <f t="shared" si="26"/>
        <v>4665</v>
      </c>
      <c r="V62" s="158"/>
      <c r="W62" s="155"/>
      <c r="X62" s="155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</row>
    <row r="63" spans="1:66" ht="12">
      <c r="A63" s="146" t="s">
        <v>108</v>
      </c>
      <c r="B63" s="147"/>
      <c r="C63" s="148"/>
      <c r="D63" s="148"/>
      <c r="E63" s="169"/>
      <c r="F63" s="148"/>
      <c r="G63" s="148"/>
      <c r="H63" s="147"/>
      <c r="I63" s="148"/>
      <c r="J63" s="148"/>
      <c r="K63" s="147"/>
      <c r="L63" s="148"/>
      <c r="M63" s="148"/>
      <c r="N63" s="148"/>
      <c r="O63" s="148"/>
      <c r="P63" s="148"/>
      <c r="Q63" s="148"/>
      <c r="R63" s="147"/>
      <c r="S63" s="147"/>
      <c r="T63" s="147"/>
      <c r="U63" s="149"/>
      <c r="V63" s="158"/>
      <c r="W63" s="155"/>
      <c r="X63" s="155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</row>
    <row r="64" spans="1:66" ht="12">
      <c r="A64" s="152" t="s">
        <v>105</v>
      </c>
      <c r="B64" s="147"/>
      <c r="C64" s="153"/>
      <c r="D64" s="153"/>
      <c r="E64" s="219"/>
      <c r="F64" s="148"/>
      <c r="G64" s="154"/>
      <c r="H64" s="154"/>
      <c r="I64" s="148"/>
      <c r="J64" s="154"/>
      <c r="K64" s="154"/>
      <c r="L64" s="154">
        <v>1</v>
      </c>
      <c r="M64" s="154"/>
      <c r="N64" s="148"/>
      <c r="O64" s="148"/>
      <c r="P64" s="154"/>
      <c r="Q64" s="154"/>
      <c r="R64" s="147"/>
      <c r="S64" s="147"/>
      <c r="T64" s="154"/>
      <c r="U64" s="149">
        <f>SUM(B64:T64)</f>
        <v>1</v>
      </c>
      <c r="V64" s="158"/>
      <c r="W64" s="155"/>
      <c r="X64" s="155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</row>
    <row r="65" spans="1:66" s="162" customFormat="1" ht="12">
      <c r="A65" s="152" t="s">
        <v>115</v>
      </c>
      <c r="B65" s="147"/>
      <c r="C65" s="153"/>
      <c r="D65" s="153"/>
      <c r="E65" s="219">
        <v>4</v>
      </c>
      <c r="F65" s="148">
        <v>2</v>
      </c>
      <c r="G65" s="154"/>
      <c r="H65" s="148">
        <v>1</v>
      </c>
      <c r="I65" s="148">
        <v>2</v>
      </c>
      <c r="J65" s="148"/>
      <c r="K65" s="154"/>
      <c r="L65" s="154">
        <v>1</v>
      </c>
      <c r="M65" s="154">
        <v>0</v>
      </c>
      <c r="N65" s="148"/>
      <c r="O65" s="154">
        <v>1</v>
      </c>
      <c r="P65" s="148"/>
      <c r="Q65" s="154"/>
      <c r="R65" s="147"/>
      <c r="S65" s="147">
        <v>1</v>
      </c>
      <c r="T65" s="154"/>
      <c r="U65" s="149">
        <f>SUM(B65:T65)</f>
        <v>12</v>
      </c>
      <c r="V65" s="160"/>
      <c r="W65" s="155"/>
      <c r="X65" s="155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</row>
    <row r="66" spans="1:66" ht="12">
      <c r="A66" s="152" t="s">
        <v>107</v>
      </c>
      <c r="B66" s="157">
        <f aca="true" t="shared" si="27" ref="B66:U66">+B64+B65</f>
        <v>0</v>
      </c>
      <c r="C66" s="157">
        <f t="shared" si="27"/>
        <v>0</v>
      </c>
      <c r="D66" s="157">
        <f t="shared" si="27"/>
        <v>0</v>
      </c>
      <c r="E66" s="217">
        <f t="shared" si="27"/>
        <v>4</v>
      </c>
      <c r="F66" s="157">
        <f t="shared" si="27"/>
        <v>2</v>
      </c>
      <c r="G66" s="157">
        <f t="shared" si="27"/>
        <v>0</v>
      </c>
      <c r="H66" s="157">
        <f t="shared" si="27"/>
        <v>1</v>
      </c>
      <c r="I66" s="157">
        <f t="shared" si="27"/>
        <v>2</v>
      </c>
      <c r="J66" s="157">
        <f t="shared" si="27"/>
        <v>0</v>
      </c>
      <c r="K66" s="157">
        <f t="shared" si="27"/>
        <v>0</v>
      </c>
      <c r="L66" s="157">
        <f t="shared" si="27"/>
        <v>2</v>
      </c>
      <c r="M66" s="157">
        <f t="shared" si="27"/>
        <v>0</v>
      </c>
      <c r="N66" s="157">
        <f t="shared" si="27"/>
        <v>0</v>
      </c>
      <c r="O66" s="157">
        <f t="shared" si="27"/>
        <v>1</v>
      </c>
      <c r="P66" s="157">
        <f t="shared" si="27"/>
        <v>0</v>
      </c>
      <c r="Q66" s="157">
        <f t="shared" si="27"/>
        <v>0</v>
      </c>
      <c r="R66" s="157">
        <f t="shared" si="27"/>
        <v>0</v>
      </c>
      <c r="S66" s="157">
        <f t="shared" si="27"/>
        <v>1</v>
      </c>
      <c r="T66" s="157">
        <f t="shared" si="27"/>
        <v>0</v>
      </c>
      <c r="U66" s="157">
        <f t="shared" si="27"/>
        <v>13</v>
      </c>
      <c r="V66" s="158"/>
      <c r="W66" s="155"/>
      <c r="X66" s="155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</row>
    <row r="67" spans="1:66" s="166" customFormat="1" ht="12">
      <c r="A67" s="146" t="s">
        <v>109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48"/>
      <c r="S67" s="163"/>
      <c r="T67" s="163"/>
      <c r="U67" s="149"/>
      <c r="V67" s="164"/>
      <c r="W67" s="155"/>
      <c r="X67" s="15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5"/>
    </row>
    <row r="68" spans="1:66" ht="13.5" customHeight="1">
      <c r="A68" s="152" t="s">
        <v>105</v>
      </c>
      <c r="B68" s="147">
        <v>260</v>
      </c>
      <c r="C68" s="153">
        <v>50</v>
      </c>
      <c r="D68" s="153">
        <v>98</v>
      </c>
      <c r="E68" s="219">
        <v>279</v>
      </c>
      <c r="F68" s="148">
        <v>2339</v>
      </c>
      <c r="G68" s="154">
        <v>187</v>
      </c>
      <c r="H68" s="154">
        <v>338</v>
      </c>
      <c r="I68" s="148">
        <v>1061</v>
      </c>
      <c r="J68" s="154">
        <v>3592</v>
      </c>
      <c r="K68" s="154">
        <v>1379</v>
      </c>
      <c r="L68" s="154">
        <v>1637</v>
      </c>
      <c r="M68" s="154">
        <v>55</v>
      </c>
      <c r="N68" s="148">
        <v>593</v>
      </c>
      <c r="O68" s="148">
        <v>1723</v>
      </c>
      <c r="P68" s="220">
        <v>1145</v>
      </c>
      <c r="Q68" s="154">
        <v>250</v>
      </c>
      <c r="R68" s="147">
        <v>2081</v>
      </c>
      <c r="S68" s="147">
        <v>136</v>
      </c>
      <c r="T68" s="154">
        <v>420</v>
      </c>
      <c r="U68" s="149">
        <f>SUM(B68:T68)</f>
        <v>17623</v>
      </c>
      <c r="V68" s="167"/>
      <c r="W68" s="168"/>
      <c r="X68" s="168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</row>
    <row r="69" spans="1:38" ht="12">
      <c r="A69" s="152" t="s">
        <v>115</v>
      </c>
      <c r="B69" s="147">
        <v>151</v>
      </c>
      <c r="C69" s="153">
        <v>12</v>
      </c>
      <c r="D69" s="153">
        <v>15</v>
      </c>
      <c r="E69" s="219">
        <v>250</v>
      </c>
      <c r="F69" s="148">
        <v>1240</v>
      </c>
      <c r="G69" s="154">
        <v>71</v>
      </c>
      <c r="H69" s="148">
        <v>549</v>
      </c>
      <c r="I69" s="148">
        <v>386</v>
      </c>
      <c r="J69" s="148">
        <v>1911</v>
      </c>
      <c r="K69" s="154">
        <v>687</v>
      </c>
      <c r="L69" s="154">
        <v>250</v>
      </c>
      <c r="M69" s="154">
        <v>10</v>
      </c>
      <c r="N69" s="148">
        <v>176</v>
      </c>
      <c r="O69" s="220">
        <v>1033</v>
      </c>
      <c r="P69" s="148">
        <v>604</v>
      </c>
      <c r="Q69" s="154">
        <v>110</v>
      </c>
      <c r="R69" s="147">
        <v>1006</v>
      </c>
      <c r="S69" s="147">
        <v>37</v>
      </c>
      <c r="T69" s="154">
        <v>43</v>
      </c>
      <c r="U69" s="149">
        <f>SUM(B69:T69)</f>
        <v>8541</v>
      </c>
      <c r="V69" s="167"/>
      <c r="W69" s="168"/>
      <c r="X69" s="168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</row>
    <row r="70" spans="1:66" ht="12">
      <c r="A70" s="152" t="s">
        <v>107</v>
      </c>
      <c r="B70" s="157">
        <f aca="true" t="shared" si="28" ref="B70:U70">+B68+B69</f>
        <v>411</v>
      </c>
      <c r="C70" s="157">
        <f t="shared" si="28"/>
        <v>62</v>
      </c>
      <c r="D70" s="157">
        <f t="shared" si="28"/>
        <v>113</v>
      </c>
      <c r="E70" s="217">
        <f t="shared" si="28"/>
        <v>529</v>
      </c>
      <c r="F70" s="157">
        <f t="shared" si="28"/>
        <v>3579</v>
      </c>
      <c r="G70" s="157">
        <f t="shared" si="28"/>
        <v>258</v>
      </c>
      <c r="H70" s="157">
        <f t="shared" si="28"/>
        <v>887</v>
      </c>
      <c r="I70" s="157">
        <f t="shared" si="28"/>
        <v>1447</v>
      </c>
      <c r="J70" s="157">
        <f t="shared" si="28"/>
        <v>5503</v>
      </c>
      <c r="K70" s="157">
        <f t="shared" si="28"/>
        <v>2066</v>
      </c>
      <c r="L70" s="157">
        <f t="shared" si="28"/>
        <v>1887</v>
      </c>
      <c r="M70" s="157">
        <f t="shared" si="28"/>
        <v>65</v>
      </c>
      <c r="N70" s="157">
        <f t="shared" si="28"/>
        <v>769</v>
      </c>
      <c r="O70" s="157">
        <f t="shared" si="28"/>
        <v>2756</v>
      </c>
      <c r="P70" s="157">
        <f t="shared" si="28"/>
        <v>1749</v>
      </c>
      <c r="Q70" s="157">
        <f t="shared" si="28"/>
        <v>360</v>
      </c>
      <c r="R70" s="157">
        <f t="shared" si="28"/>
        <v>3087</v>
      </c>
      <c r="S70" s="157">
        <f t="shared" si="28"/>
        <v>173</v>
      </c>
      <c r="T70" s="157">
        <f t="shared" si="28"/>
        <v>463</v>
      </c>
      <c r="U70" s="157">
        <f t="shared" si="28"/>
        <v>26164</v>
      </c>
      <c r="V70" s="158"/>
      <c r="W70" s="155"/>
      <c r="X70" s="155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</row>
    <row r="71" spans="1:38" ht="24">
      <c r="A71" s="146" t="s">
        <v>117</v>
      </c>
      <c r="B71" s="169"/>
      <c r="C71" s="170"/>
      <c r="D71" s="170"/>
      <c r="E71" s="170"/>
      <c r="F71" s="169"/>
      <c r="G71" s="169"/>
      <c r="H71" s="171"/>
      <c r="I71" s="169"/>
      <c r="J71" s="172"/>
      <c r="K71" s="170"/>
      <c r="L71" s="172"/>
      <c r="M71" s="172"/>
      <c r="N71" s="170"/>
      <c r="O71" s="169"/>
      <c r="P71" s="172"/>
      <c r="Q71" s="170"/>
      <c r="R71" s="169"/>
      <c r="S71" s="169"/>
      <c r="T71" s="169"/>
      <c r="U71" s="149"/>
      <c r="V71" s="171"/>
      <c r="W71" s="171"/>
      <c r="X71" s="171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</row>
    <row r="72" spans="1:38" ht="12">
      <c r="A72" s="152" t="s">
        <v>105</v>
      </c>
      <c r="B72" s="147">
        <v>55</v>
      </c>
      <c r="C72" s="153">
        <v>65</v>
      </c>
      <c r="D72" s="153">
        <v>36</v>
      </c>
      <c r="E72" s="219">
        <v>180</v>
      </c>
      <c r="F72" s="148">
        <v>683</v>
      </c>
      <c r="G72" s="154">
        <v>28</v>
      </c>
      <c r="H72" s="220">
        <v>197</v>
      </c>
      <c r="I72" s="148">
        <v>553</v>
      </c>
      <c r="J72" s="220">
        <v>1573</v>
      </c>
      <c r="K72" s="154">
        <v>270</v>
      </c>
      <c r="L72" s="154">
        <v>65</v>
      </c>
      <c r="M72" s="154">
        <v>50</v>
      </c>
      <c r="N72" s="148">
        <v>516</v>
      </c>
      <c r="O72" s="148">
        <v>473</v>
      </c>
      <c r="P72" s="154">
        <v>504</v>
      </c>
      <c r="Q72" s="154">
        <v>64</v>
      </c>
      <c r="R72" s="147">
        <v>664</v>
      </c>
      <c r="S72" s="147">
        <v>137</v>
      </c>
      <c r="T72" s="154">
        <v>163</v>
      </c>
      <c r="U72" s="149">
        <f>SUM(B72:T72)</f>
        <v>6276</v>
      </c>
      <c r="V72" s="150"/>
      <c r="W72" s="150"/>
      <c r="X72" s="150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</row>
    <row r="73" spans="1:38" ht="12">
      <c r="A73" s="152" t="s">
        <v>115</v>
      </c>
      <c r="B73" s="147">
        <v>15</v>
      </c>
      <c r="C73" s="153"/>
      <c r="D73" s="153">
        <v>1</v>
      </c>
      <c r="E73" s="219">
        <v>42</v>
      </c>
      <c r="F73" s="148">
        <v>177</v>
      </c>
      <c r="G73" s="154">
        <v>2</v>
      </c>
      <c r="H73" s="148">
        <v>161</v>
      </c>
      <c r="I73" s="148">
        <v>149</v>
      </c>
      <c r="J73" s="148">
        <v>583</v>
      </c>
      <c r="K73" s="154">
        <v>121</v>
      </c>
      <c r="L73" s="154">
        <v>2</v>
      </c>
      <c r="M73" s="154">
        <v>3</v>
      </c>
      <c r="N73" s="148">
        <v>114</v>
      </c>
      <c r="O73" s="154">
        <v>169</v>
      </c>
      <c r="P73" s="148">
        <v>96</v>
      </c>
      <c r="Q73" s="154">
        <v>5</v>
      </c>
      <c r="R73" s="147">
        <v>260</v>
      </c>
      <c r="S73" s="147">
        <v>17</v>
      </c>
      <c r="T73" s="154">
        <v>25</v>
      </c>
      <c r="U73" s="149">
        <f>SUM(B73:T73)</f>
        <v>1942</v>
      </c>
      <c r="V73" s="164"/>
      <c r="W73" s="160"/>
      <c r="X73" s="160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</row>
    <row r="74" spans="1:66" ht="12">
      <c r="A74" s="152" t="s">
        <v>107</v>
      </c>
      <c r="B74" s="157">
        <f aca="true" t="shared" si="29" ref="B74:U74">+B72+B73</f>
        <v>70</v>
      </c>
      <c r="C74" s="157">
        <f t="shared" si="29"/>
        <v>65</v>
      </c>
      <c r="D74" s="157">
        <f t="shared" si="29"/>
        <v>37</v>
      </c>
      <c r="E74" s="217">
        <f t="shared" si="29"/>
        <v>222</v>
      </c>
      <c r="F74" s="157">
        <f t="shared" si="29"/>
        <v>860</v>
      </c>
      <c r="G74" s="157">
        <f t="shared" si="29"/>
        <v>30</v>
      </c>
      <c r="H74" s="157">
        <f t="shared" si="29"/>
        <v>358</v>
      </c>
      <c r="I74" s="157">
        <f t="shared" si="29"/>
        <v>702</v>
      </c>
      <c r="J74" s="157">
        <f t="shared" si="29"/>
        <v>2156</v>
      </c>
      <c r="K74" s="157">
        <f t="shared" si="29"/>
        <v>391</v>
      </c>
      <c r="L74" s="157">
        <f t="shared" si="29"/>
        <v>67</v>
      </c>
      <c r="M74" s="157">
        <f t="shared" si="29"/>
        <v>53</v>
      </c>
      <c r="N74" s="157">
        <f t="shared" si="29"/>
        <v>630</v>
      </c>
      <c r="O74" s="157">
        <f t="shared" si="29"/>
        <v>642</v>
      </c>
      <c r="P74" s="157">
        <f t="shared" si="29"/>
        <v>600</v>
      </c>
      <c r="Q74" s="157">
        <f t="shared" si="29"/>
        <v>69</v>
      </c>
      <c r="R74" s="157">
        <f t="shared" si="29"/>
        <v>924</v>
      </c>
      <c r="S74" s="157">
        <f t="shared" si="29"/>
        <v>154</v>
      </c>
      <c r="T74" s="157">
        <f t="shared" si="29"/>
        <v>188</v>
      </c>
      <c r="U74" s="157">
        <f t="shared" si="29"/>
        <v>8218</v>
      </c>
      <c r="V74" s="158"/>
      <c r="W74" s="155"/>
      <c r="X74" s="155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  <c r="BM74" s="156"/>
      <c r="BN74" s="156"/>
    </row>
    <row r="75" spans="1:38" ht="12">
      <c r="A75" s="146" t="s">
        <v>111</v>
      </c>
      <c r="B75" s="173"/>
      <c r="C75" s="173"/>
      <c r="D75" s="173"/>
      <c r="E75" s="16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49"/>
      <c r="V75" s="163"/>
      <c r="W75" s="173"/>
      <c r="X75" s="173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</row>
    <row r="76" spans="1:38" ht="12">
      <c r="A76" s="152" t="s">
        <v>105</v>
      </c>
      <c r="B76" s="147"/>
      <c r="C76" s="153">
        <v>186</v>
      </c>
      <c r="D76" s="153"/>
      <c r="E76" s="219"/>
      <c r="F76" s="148"/>
      <c r="G76" s="220">
        <v>1400</v>
      </c>
      <c r="H76" s="220">
        <v>2803</v>
      </c>
      <c r="I76" s="148">
        <v>311</v>
      </c>
      <c r="J76" s="154"/>
      <c r="K76" s="154"/>
      <c r="L76" s="220">
        <v>1228</v>
      </c>
      <c r="M76" s="154">
        <v>540</v>
      </c>
      <c r="N76" s="148"/>
      <c r="O76" s="148"/>
      <c r="P76" s="154"/>
      <c r="Q76" s="154"/>
      <c r="R76" s="147"/>
      <c r="S76" s="147"/>
      <c r="T76" s="154"/>
      <c r="U76" s="149">
        <f>SUM(B76:T76)</f>
        <v>6468</v>
      </c>
      <c r="V76" s="177"/>
      <c r="W76" s="159"/>
      <c r="X76" s="159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</row>
    <row r="77" spans="1:38" ht="12">
      <c r="A77" s="152" t="s">
        <v>115</v>
      </c>
      <c r="B77" s="147"/>
      <c r="C77" s="153">
        <v>79</v>
      </c>
      <c r="D77" s="153"/>
      <c r="E77" s="219"/>
      <c r="F77" s="148"/>
      <c r="G77" s="154">
        <v>307</v>
      </c>
      <c r="H77" s="148">
        <v>414</v>
      </c>
      <c r="I77" s="148">
        <v>215</v>
      </c>
      <c r="J77" s="148"/>
      <c r="K77" s="154"/>
      <c r="L77" s="154">
        <v>356</v>
      </c>
      <c r="M77" s="154">
        <v>260</v>
      </c>
      <c r="N77" s="148"/>
      <c r="O77" s="154"/>
      <c r="P77" s="148"/>
      <c r="Q77" s="154"/>
      <c r="R77" s="147"/>
      <c r="S77" s="147"/>
      <c r="T77" s="154"/>
      <c r="U77" s="149">
        <f>SUM(B77:T77)</f>
        <v>1631</v>
      </c>
      <c r="V77" s="150"/>
      <c r="W77" s="155"/>
      <c r="X77" s="155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</row>
    <row r="78" spans="1:66" ht="12">
      <c r="A78" s="152" t="s">
        <v>107</v>
      </c>
      <c r="B78" s="157">
        <f aca="true" t="shared" si="30" ref="B78:U78">+B76+B77</f>
        <v>0</v>
      </c>
      <c r="C78" s="157">
        <f t="shared" si="30"/>
        <v>265</v>
      </c>
      <c r="D78" s="157">
        <f t="shared" si="30"/>
        <v>0</v>
      </c>
      <c r="E78" s="217">
        <f t="shared" si="30"/>
        <v>0</v>
      </c>
      <c r="F78" s="157">
        <f t="shared" si="30"/>
        <v>0</v>
      </c>
      <c r="G78" s="157">
        <f t="shared" si="30"/>
        <v>1707</v>
      </c>
      <c r="H78" s="157">
        <f t="shared" si="30"/>
        <v>3217</v>
      </c>
      <c r="I78" s="157">
        <f t="shared" si="30"/>
        <v>526</v>
      </c>
      <c r="J78" s="157">
        <f t="shared" si="30"/>
        <v>0</v>
      </c>
      <c r="K78" s="157">
        <f t="shared" si="30"/>
        <v>0</v>
      </c>
      <c r="L78" s="157">
        <f t="shared" si="30"/>
        <v>1584</v>
      </c>
      <c r="M78" s="157">
        <f t="shared" si="30"/>
        <v>800</v>
      </c>
      <c r="N78" s="157">
        <f t="shared" si="30"/>
        <v>0</v>
      </c>
      <c r="O78" s="157">
        <f t="shared" si="30"/>
        <v>0</v>
      </c>
      <c r="P78" s="157">
        <f t="shared" si="30"/>
        <v>0</v>
      </c>
      <c r="Q78" s="157">
        <f t="shared" si="30"/>
        <v>0</v>
      </c>
      <c r="R78" s="157">
        <f t="shared" si="30"/>
        <v>0</v>
      </c>
      <c r="S78" s="157">
        <f t="shared" si="30"/>
        <v>0</v>
      </c>
      <c r="T78" s="157">
        <f t="shared" si="30"/>
        <v>0</v>
      </c>
      <c r="U78" s="157">
        <f t="shared" si="30"/>
        <v>8099</v>
      </c>
      <c r="V78" s="158"/>
      <c r="W78" s="155"/>
      <c r="X78" s="155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N78" s="156"/>
    </row>
    <row r="79" spans="1:38" ht="12">
      <c r="A79" s="146" t="s">
        <v>112</v>
      </c>
      <c r="B79" s="178"/>
      <c r="C79" s="178"/>
      <c r="D79" s="178"/>
      <c r="E79" s="216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9"/>
      <c r="V79" s="150"/>
      <c r="W79" s="155"/>
      <c r="X79" s="155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</row>
    <row r="80" spans="1:24" ht="12">
      <c r="A80" s="152" t="s">
        <v>105</v>
      </c>
      <c r="B80" s="180">
        <f aca="true" t="shared" si="31" ref="B80:U80">+B76+B72+B68+B64+B60</f>
        <v>315</v>
      </c>
      <c r="C80" s="180">
        <f t="shared" si="31"/>
        <v>301</v>
      </c>
      <c r="D80" s="180">
        <f t="shared" si="31"/>
        <v>134</v>
      </c>
      <c r="E80" s="180">
        <f t="shared" si="31"/>
        <v>460</v>
      </c>
      <c r="F80" s="180">
        <f t="shared" si="31"/>
        <v>3022</v>
      </c>
      <c r="G80" s="180">
        <f t="shared" si="31"/>
        <v>1615</v>
      </c>
      <c r="H80" s="180">
        <f t="shared" si="31"/>
        <v>3338</v>
      </c>
      <c r="I80" s="180">
        <f t="shared" si="31"/>
        <v>1925</v>
      </c>
      <c r="J80" s="180">
        <f t="shared" si="31"/>
        <v>5166</v>
      </c>
      <c r="K80" s="180">
        <f t="shared" si="31"/>
        <v>1649</v>
      </c>
      <c r="L80" s="180">
        <f t="shared" si="31"/>
        <v>2931</v>
      </c>
      <c r="M80" s="180">
        <f t="shared" si="31"/>
        <v>645</v>
      </c>
      <c r="N80" s="180">
        <f t="shared" si="31"/>
        <v>1109</v>
      </c>
      <c r="O80" s="180">
        <f t="shared" si="31"/>
        <v>2946</v>
      </c>
      <c r="P80" s="180">
        <f t="shared" si="31"/>
        <v>1649</v>
      </c>
      <c r="Q80" s="180">
        <f t="shared" si="31"/>
        <v>314</v>
      </c>
      <c r="R80" s="180">
        <f t="shared" si="31"/>
        <v>2745</v>
      </c>
      <c r="S80" s="180">
        <f t="shared" si="31"/>
        <v>273</v>
      </c>
      <c r="T80" s="180">
        <f t="shared" si="31"/>
        <v>583</v>
      </c>
      <c r="U80" s="180">
        <f t="shared" si="31"/>
        <v>31120</v>
      </c>
      <c r="V80" s="181"/>
      <c r="W80" s="182"/>
      <c r="X80" s="182"/>
    </row>
    <row r="81" spans="1:24" ht="12">
      <c r="A81" s="152" t="s">
        <v>115</v>
      </c>
      <c r="B81" s="180">
        <f aca="true" t="shared" si="32" ref="B81:U81">+B77+B73+B69+B65+B61</f>
        <v>195</v>
      </c>
      <c r="C81" s="180">
        <f t="shared" si="32"/>
        <v>91</v>
      </c>
      <c r="D81" s="180">
        <f t="shared" si="32"/>
        <v>20</v>
      </c>
      <c r="E81" s="180">
        <f t="shared" si="32"/>
        <v>429</v>
      </c>
      <c r="F81" s="180">
        <f t="shared" si="32"/>
        <v>1596</v>
      </c>
      <c r="G81" s="180">
        <f t="shared" si="32"/>
        <v>537</v>
      </c>
      <c r="H81" s="180">
        <f t="shared" si="32"/>
        <v>1940</v>
      </c>
      <c r="I81" s="180">
        <f t="shared" si="32"/>
        <v>895</v>
      </c>
      <c r="J81" s="180">
        <f t="shared" si="32"/>
        <v>3318</v>
      </c>
      <c r="K81" s="180">
        <f t="shared" si="32"/>
        <v>1011</v>
      </c>
      <c r="L81" s="180">
        <f t="shared" si="32"/>
        <v>677</v>
      </c>
      <c r="M81" s="180">
        <f t="shared" si="32"/>
        <v>320</v>
      </c>
      <c r="N81" s="180">
        <f t="shared" si="32"/>
        <v>390</v>
      </c>
      <c r="O81" s="180">
        <f t="shared" si="32"/>
        <v>1860</v>
      </c>
      <c r="P81" s="180">
        <f t="shared" si="32"/>
        <v>856</v>
      </c>
      <c r="Q81" s="180">
        <f t="shared" si="32"/>
        <v>171</v>
      </c>
      <c r="R81" s="180">
        <f t="shared" si="32"/>
        <v>1585</v>
      </c>
      <c r="S81" s="180">
        <f t="shared" si="32"/>
        <v>70</v>
      </c>
      <c r="T81" s="180">
        <f t="shared" si="32"/>
        <v>78</v>
      </c>
      <c r="U81" s="180">
        <f t="shared" si="32"/>
        <v>16039</v>
      </c>
      <c r="V81" s="181"/>
      <c r="W81" s="182"/>
      <c r="X81" s="182"/>
    </row>
    <row r="82" spans="1:66" ht="12">
      <c r="A82" s="183" t="s">
        <v>107</v>
      </c>
      <c r="B82" s="221">
        <f aca="true" t="shared" si="33" ref="B82:U82">+B80+B81</f>
        <v>510</v>
      </c>
      <c r="C82" s="184">
        <f t="shared" si="33"/>
        <v>392</v>
      </c>
      <c r="D82" s="184">
        <f t="shared" si="33"/>
        <v>154</v>
      </c>
      <c r="E82" s="221">
        <f t="shared" si="33"/>
        <v>889</v>
      </c>
      <c r="F82" s="221">
        <f t="shared" si="33"/>
        <v>4618</v>
      </c>
      <c r="G82" s="184">
        <f t="shared" si="33"/>
        <v>2152</v>
      </c>
      <c r="H82" s="184">
        <f t="shared" si="33"/>
        <v>5278</v>
      </c>
      <c r="I82" s="184">
        <f t="shared" si="33"/>
        <v>2820</v>
      </c>
      <c r="J82" s="184">
        <f t="shared" si="33"/>
        <v>8484</v>
      </c>
      <c r="K82" s="184">
        <f t="shared" si="33"/>
        <v>2660</v>
      </c>
      <c r="L82" s="184">
        <f t="shared" si="33"/>
        <v>3608</v>
      </c>
      <c r="M82" s="184">
        <f t="shared" si="33"/>
        <v>965</v>
      </c>
      <c r="N82" s="184">
        <f t="shared" si="33"/>
        <v>1499</v>
      </c>
      <c r="O82" s="184">
        <f t="shared" si="33"/>
        <v>4806</v>
      </c>
      <c r="P82" s="184">
        <f t="shared" si="33"/>
        <v>2505</v>
      </c>
      <c r="Q82" s="184">
        <f t="shared" si="33"/>
        <v>485</v>
      </c>
      <c r="R82" s="184">
        <f t="shared" si="33"/>
        <v>4330</v>
      </c>
      <c r="S82" s="184">
        <f t="shared" si="33"/>
        <v>343</v>
      </c>
      <c r="T82" s="184">
        <f t="shared" si="33"/>
        <v>661</v>
      </c>
      <c r="U82" s="184">
        <f t="shared" si="33"/>
        <v>47159</v>
      </c>
      <c r="V82" s="158"/>
      <c r="W82" s="155"/>
      <c r="X82" s="155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</row>
    <row r="83" spans="1:24" ht="12">
      <c r="A83" s="73" t="s">
        <v>113</v>
      </c>
      <c r="B83" s="185"/>
      <c r="C83" s="185"/>
      <c r="D83" s="185"/>
      <c r="E83" s="222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6"/>
      <c r="V83" s="187"/>
      <c r="W83" s="188"/>
      <c r="X83" s="188"/>
    </row>
    <row r="84" spans="1:24" ht="12">
      <c r="A84" s="77" t="s">
        <v>66</v>
      </c>
      <c r="B84" s="189"/>
      <c r="C84" s="180"/>
      <c r="D84" s="189"/>
      <c r="E84" s="223"/>
      <c r="F84" s="189"/>
      <c r="G84" s="189"/>
      <c r="H84" s="189"/>
      <c r="I84" s="189"/>
      <c r="J84" s="189"/>
      <c r="K84" s="180"/>
      <c r="L84" s="189"/>
      <c r="M84" s="189"/>
      <c r="N84" s="180"/>
      <c r="O84" s="189"/>
      <c r="P84" s="189"/>
      <c r="Q84" s="180"/>
      <c r="R84" s="189"/>
      <c r="S84" s="189"/>
      <c r="T84" s="189"/>
      <c r="U84" s="186"/>
      <c r="V84" s="190"/>
      <c r="W84" s="80"/>
      <c r="X84" s="80"/>
    </row>
    <row r="85" spans="1:24" ht="12">
      <c r="A85" s="191"/>
      <c r="B85" s="186"/>
      <c r="C85" s="186"/>
      <c r="D85" s="186"/>
      <c r="E85" s="224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92"/>
      <c r="W85" s="193"/>
      <c r="X85" s="193"/>
    </row>
    <row r="86" spans="1:24" ht="12">
      <c r="A86" s="194"/>
      <c r="B86" s="194"/>
      <c r="C86" s="30"/>
      <c r="D86" s="194"/>
      <c r="E86" s="225"/>
      <c r="F86" s="194"/>
      <c r="G86" s="194"/>
      <c r="H86" s="55"/>
      <c r="I86" s="194"/>
      <c r="J86" s="194"/>
      <c r="K86" s="30"/>
      <c r="L86" s="194"/>
      <c r="M86" s="194"/>
      <c r="N86" s="30"/>
      <c r="O86" s="194"/>
      <c r="P86" s="194"/>
      <c r="Q86" s="30"/>
      <c r="R86" s="55"/>
      <c r="S86" s="194"/>
      <c r="T86" s="194"/>
      <c r="U86" s="195"/>
      <c r="V86" s="196"/>
      <c r="W86" s="197"/>
      <c r="X86" s="197"/>
    </row>
    <row r="87" spans="1:24" ht="12">
      <c r="A87" s="198"/>
      <c r="B87" s="199"/>
      <c r="C87" s="30"/>
      <c r="D87" s="30"/>
      <c r="E87" s="225"/>
      <c r="F87" s="199"/>
      <c r="G87" s="199"/>
      <c r="H87" s="199"/>
      <c r="I87" s="199"/>
      <c r="J87" s="199"/>
      <c r="K87" s="30"/>
      <c r="L87" s="199"/>
      <c r="M87" s="199"/>
      <c r="N87" s="30"/>
      <c r="O87" s="199"/>
      <c r="P87" s="199"/>
      <c r="Q87" s="30"/>
      <c r="R87" s="199"/>
      <c r="S87" s="199"/>
      <c r="T87" s="199"/>
      <c r="U87" s="186"/>
      <c r="V87" s="200"/>
      <c r="W87" s="199"/>
      <c r="X87" s="199"/>
    </row>
    <row r="88" spans="1:24" ht="12">
      <c r="A88" s="198"/>
      <c r="B88" s="199"/>
      <c r="C88" s="30"/>
      <c r="D88" s="30"/>
      <c r="E88" s="225"/>
      <c r="F88" s="199"/>
      <c r="G88" s="199"/>
      <c r="H88" s="199"/>
      <c r="I88" s="199"/>
      <c r="J88" s="199"/>
      <c r="K88" s="30"/>
      <c r="L88" s="199"/>
      <c r="M88" s="199"/>
      <c r="N88" s="30"/>
      <c r="O88" s="199"/>
      <c r="P88" s="199"/>
      <c r="Q88" s="30"/>
      <c r="R88" s="199"/>
      <c r="S88" s="199"/>
      <c r="T88" s="199"/>
      <c r="U88" s="186"/>
      <c r="V88" s="200"/>
      <c r="W88" s="199"/>
      <c r="X88" s="199"/>
    </row>
    <row r="89" spans="1:24" ht="12">
      <c r="A89" s="198"/>
      <c r="B89" s="199"/>
      <c r="C89" s="30"/>
      <c r="D89" s="30"/>
      <c r="E89" s="225"/>
      <c r="F89" s="199"/>
      <c r="G89" s="199"/>
      <c r="H89" s="199"/>
      <c r="I89" s="199"/>
      <c r="J89" s="199"/>
      <c r="K89" s="30"/>
      <c r="L89" s="199"/>
      <c r="M89" s="199"/>
      <c r="N89" s="30"/>
      <c r="O89" s="199"/>
      <c r="P89" s="199"/>
      <c r="Q89" s="30"/>
      <c r="R89" s="199"/>
      <c r="S89" s="199"/>
      <c r="T89" s="199"/>
      <c r="U89" s="186"/>
      <c r="V89" s="200"/>
      <c r="W89" s="199"/>
      <c r="X89" s="199"/>
    </row>
    <row r="90" spans="1:24" ht="12">
      <c r="A90" s="198"/>
      <c r="B90" s="199"/>
      <c r="C90" s="30"/>
      <c r="D90" s="30"/>
      <c r="E90" s="225"/>
      <c r="F90" s="199"/>
      <c r="G90" s="199"/>
      <c r="H90" s="199"/>
      <c r="I90" s="199"/>
      <c r="J90" s="199"/>
      <c r="K90" s="30"/>
      <c r="L90" s="199"/>
      <c r="M90" s="199"/>
      <c r="N90" s="30"/>
      <c r="O90" s="199"/>
      <c r="P90" s="199"/>
      <c r="Q90" s="30"/>
      <c r="R90" s="199"/>
      <c r="S90" s="199"/>
      <c r="T90" s="199"/>
      <c r="U90" s="186"/>
      <c r="V90" s="200"/>
      <c r="W90" s="199"/>
      <c r="X90" s="199"/>
    </row>
    <row r="91" spans="1:24" ht="12">
      <c r="A91" s="198"/>
      <c r="B91" s="199"/>
      <c r="C91" s="30"/>
      <c r="D91" s="30"/>
      <c r="E91" s="225"/>
      <c r="F91" s="199"/>
      <c r="G91" s="199"/>
      <c r="H91" s="199"/>
      <c r="I91" s="199"/>
      <c r="J91" s="30"/>
      <c r="K91" s="30"/>
      <c r="L91" s="199"/>
      <c r="M91" s="199"/>
      <c r="N91" s="30"/>
      <c r="O91" s="199"/>
      <c r="P91" s="199"/>
      <c r="Q91" s="30"/>
      <c r="R91" s="199"/>
      <c r="S91" s="199"/>
      <c r="T91" s="199"/>
      <c r="U91" s="186"/>
      <c r="V91" s="200"/>
      <c r="W91" s="199"/>
      <c r="X91" s="199"/>
    </row>
    <row r="92" spans="1:24" ht="12">
      <c r="A92" s="198"/>
      <c r="B92" s="199"/>
      <c r="C92" s="30"/>
      <c r="D92" s="199"/>
      <c r="E92" s="225"/>
      <c r="F92" s="199"/>
      <c r="G92" s="199"/>
      <c r="H92" s="199"/>
      <c r="I92" s="199"/>
      <c r="J92" s="199"/>
      <c r="K92" s="30"/>
      <c r="L92" s="199"/>
      <c r="M92" s="199"/>
      <c r="N92" s="30"/>
      <c r="O92" s="199"/>
      <c r="P92" s="199"/>
      <c r="Q92" s="30"/>
      <c r="R92" s="199"/>
      <c r="S92" s="199"/>
      <c r="T92" s="199"/>
      <c r="U92" s="186"/>
      <c r="V92" s="200"/>
      <c r="W92" s="199"/>
      <c r="X92" s="199"/>
    </row>
    <row r="93" spans="1:24" ht="12">
      <c r="A93" s="201"/>
      <c r="B93" s="202"/>
      <c r="C93" s="202"/>
      <c r="D93" s="202"/>
      <c r="E93" s="203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186"/>
      <c r="V93" s="203"/>
      <c r="W93" s="202"/>
      <c r="X93" s="202"/>
    </row>
    <row r="94" spans="1:24" ht="12">
      <c r="A94" s="30"/>
      <c r="B94" s="199"/>
      <c r="C94" s="30"/>
      <c r="D94" s="199"/>
      <c r="E94" s="225"/>
      <c r="F94" s="199"/>
      <c r="G94" s="199"/>
      <c r="H94" s="199"/>
      <c r="I94" s="199"/>
      <c r="J94" s="199"/>
      <c r="K94" s="30"/>
      <c r="L94" s="199"/>
      <c r="M94" s="199"/>
      <c r="N94" s="30"/>
      <c r="O94" s="199"/>
      <c r="P94" s="30"/>
      <c r="Q94" s="30"/>
      <c r="R94" s="199"/>
      <c r="S94" s="199"/>
      <c r="T94" s="199"/>
      <c r="U94" s="186"/>
      <c r="V94" s="200"/>
      <c r="W94" s="199"/>
      <c r="X94" s="199"/>
    </row>
    <row r="95" spans="1:24" ht="12">
      <c r="A95" s="160"/>
      <c r="B95" s="160"/>
      <c r="C95" s="160"/>
      <c r="D95" s="160"/>
      <c r="E95" s="164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4"/>
      <c r="W95" s="160"/>
      <c r="X95" s="160"/>
    </row>
    <row r="96" spans="1:24" ht="12">
      <c r="A96" s="204"/>
      <c r="B96" s="205"/>
      <c r="C96" s="205"/>
      <c r="D96" s="205"/>
      <c r="E96" s="226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6"/>
      <c r="V96" s="203"/>
      <c r="W96" s="202"/>
      <c r="X96" s="202"/>
    </row>
  </sheetData>
  <sheetProtection/>
  <mergeCells count="1">
    <mergeCell ref="B3:T3"/>
  </mergeCells>
  <printOptions/>
  <pageMargins left="0.5511811023622047" right="0.2362204724409449" top="0.5511811023622047" bottom="0.1968503937007874" header="0.5118110236220472" footer="0.2362204724409449"/>
  <pageSetup fitToHeight="1" fitToWidth="1" orientation="portrait" paperSize="9" scale="63" r:id="rId1"/>
  <headerFooter alignWithMargins="0">
    <oddHeader>&amp;R&amp;F</oddHeader>
    <oddFooter>&amp;LComune di Bologna - Dipartimento Programmazione - Settore Statistica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6"/>
  <sheetViews>
    <sheetView showZeros="0" zoomScalePageLayoutView="0" workbookViewId="0" topLeftCell="A1">
      <pane ySplit="7" topLeftCell="A8" activePane="bottomLeft" state="frozen"/>
      <selection pane="topLeft" activeCell="T1" sqref="T1:T16384"/>
      <selection pane="bottomLeft" activeCell="T1" sqref="T1:T16384"/>
    </sheetView>
  </sheetViews>
  <sheetFormatPr defaultColWidth="10.875" defaultRowHeight="12"/>
  <cols>
    <col min="1" max="1" width="30.875" style="139" customWidth="1"/>
    <col min="2" max="2" width="6.00390625" style="139" customWidth="1"/>
    <col min="3" max="3" width="6.125" style="139" customWidth="1"/>
    <col min="4" max="4" width="7.625" style="139" customWidth="1"/>
    <col min="5" max="5" width="7.375" style="139" customWidth="1"/>
    <col min="6" max="10" width="7.625" style="139" customWidth="1"/>
    <col min="11" max="11" width="9.75390625" style="139" customWidth="1"/>
    <col min="12" max="15" width="7.625" style="139" customWidth="1"/>
    <col min="16" max="16" width="9.875" style="139" customWidth="1"/>
    <col min="17" max="19" width="7.625" style="139" customWidth="1"/>
    <col min="20" max="20" width="9.00390625" style="139" customWidth="1"/>
    <col min="21" max="21" width="7.125" style="139" customWidth="1"/>
    <col min="22" max="23" width="9.875" style="139" customWidth="1"/>
    <col min="24" max="16384" width="10.875" style="139" customWidth="1"/>
  </cols>
  <sheetData>
    <row r="1" spans="1:22" s="121" customFormat="1" ht="15" customHeight="1">
      <c r="A1" s="208" t="s">
        <v>116</v>
      </c>
      <c r="B1" s="118"/>
      <c r="C1" s="118"/>
      <c r="D1" s="118"/>
      <c r="E1" s="118"/>
      <c r="F1" s="118"/>
      <c r="G1" s="118"/>
      <c r="H1" s="20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9" t="s">
        <v>0</v>
      </c>
      <c r="T1" s="118"/>
      <c r="U1" s="119"/>
      <c r="V1" s="120"/>
    </row>
    <row r="2" spans="1:22" s="132" customFormat="1" ht="15">
      <c r="A2" s="122" t="s">
        <v>120</v>
      </c>
      <c r="B2" s="123"/>
      <c r="C2" s="123"/>
      <c r="D2" s="124"/>
      <c r="E2" s="123"/>
      <c r="F2" s="125"/>
      <c r="G2" s="124"/>
      <c r="H2" s="126"/>
      <c r="I2" s="123"/>
      <c r="J2" s="127"/>
      <c r="K2" s="115" t="s">
        <v>0</v>
      </c>
      <c r="L2" s="123"/>
      <c r="M2" s="123"/>
      <c r="N2" s="123"/>
      <c r="O2" s="123"/>
      <c r="P2" s="123"/>
      <c r="Q2" s="123"/>
      <c r="R2" s="127"/>
      <c r="S2" s="129"/>
      <c r="T2" s="123"/>
      <c r="U2" s="130"/>
      <c r="V2" s="131"/>
    </row>
    <row r="3" spans="1:22" s="136" customFormat="1" ht="12">
      <c r="A3" s="133"/>
      <c r="B3" s="271" t="s">
        <v>2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134" t="s">
        <v>103</v>
      </c>
      <c r="V3" s="135"/>
    </row>
    <row r="4" spans="1:22" ht="12">
      <c r="A4" s="133"/>
      <c r="B4" s="137" t="s">
        <v>14</v>
      </c>
      <c r="C4" s="23" t="s">
        <v>77</v>
      </c>
      <c r="D4" s="23" t="s">
        <v>11</v>
      </c>
      <c r="E4" s="23" t="s">
        <v>17</v>
      </c>
      <c r="F4" s="23" t="s">
        <v>7</v>
      </c>
      <c r="G4" s="137" t="s">
        <v>89</v>
      </c>
      <c r="H4" s="23" t="s">
        <v>5</v>
      </c>
      <c r="I4" s="137" t="s">
        <v>13</v>
      </c>
      <c r="J4" s="23" t="s">
        <v>8</v>
      </c>
      <c r="K4" s="23" t="s">
        <v>15</v>
      </c>
      <c r="L4" s="23" t="s">
        <v>10</v>
      </c>
      <c r="M4" s="23" t="s">
        <v>10</v>
      </c>
      <c r="N4" s="23" t="s">
        <v>16</v>
      </c>
      <c r="O4" s="137" t="s">
        <v>6</v>
      </c>
      <c r="P4" s="23" t="s">
        <v>6</v>
      </c>
      <c r="Q4" s="23" t="s">
        <v>79</v>
      </c>
      <c r="R4" s="23" t="s">
        <v>6</v>
      </c>
      <c r="S4" s="23" t="s">
        <v>6</v>
      </c>
      <c r="T4" s="137" t="s">
        <v>9</v>
      </c>
      <c r="U4" s="137"/>
      <c r="V4" s="138"/>
    </row>
    <row r="5" spans="1:22" ht="12">
      <c r="A5" s="133"/>
      <c r="B5" s="137" t="s">
        <v>31</v>
      </c>
      <c r="C5" s="23" t="s">
        <v>78</v>
      </c>
      <c r="D5" s="23" t="s">
        <v>28</v>
      </c>
      <c r="E5" s="23" t="s">
        <v>35</v>
      </c>
      <c r="F5" s="23" t="s">
        <v>21</v>
      </c>
      <c r="G5" s="23" t="s">
        <v>29</v>
      </c>
      <c r="H5" s="23" t="s">
        <v>19</v>
      </c>
      <c r="I5" s="137" t="s">
        <v>30</v>
      </c>
      <c r="J5" s="23" t="s">
        <v>23</v>
      </c>
      <c r="K5" s="23" t="s">
        <v>33</v>
      </c>
      <c r="L5" s="23" t="s">
        <v>26</v>
      </c>
      <c r="M5" s="23" t="s">
        <v>32</v>
      </c>
      <c r="N5" s="23" t="s">
        <v>34</v>
      </c>
      <c r="O5" s="137" t="s">
        <v>24</v>
      </c>
      <c r="P5" s="23" t="s">
        <v>96</v>
      </c>
      <c r="Q5" s="23" t="s">
        <v>84</v>
      </c>
      <c r="R5" s="23" t="s">
        <v>20</v>
      </c>
      <c r="S5" s="137" t="s">
        <v>22</v>
      </c>
      <c r="T5" s="137" t="s">
        <v>101</v>
      </c>
      <c r="U5" s="137"/>
      <c r="V5" s="138"/>
    </row>
    <row r="6" spans="1:22" ht="12">
      <c r="A6" s="30"/>
      <c r="B6" s="30"/>
      <c r="C6" s="23"/>
      <c r="D6" s="23" t="s">
        <v>44</v>
      </c>
      <c r="E6" s="23" t="s">
        <v>46</v>
      </c>
      <c r="F6" s="137"/>
      <c r="G6" s="30"/>
      <c r="H6" s="23" t="s">
        <v>36</v>
      </c>
      <c r="I6" s="30"/>
      <c r="J6" s="23" t="s">
        <v>39</v>
      </c>
      <c r="K6" s="23" t="s">
        <v>95</v>
      </c>
      <c r="L6" s="23" t="s">
        <v>42</v>
      </c>
      <c r="M6" s="23" t="s">
        <v>45</v>
      </c>
      <c r="N6" s="23"/>
      <c r="O6" s="29" t="s">
        <v>40</v>
      </c>
      <c r="P6" s="23" t="s">
        <v>97</v>
      </c>
      <c r="Q6" s="23" t="s">
        <v>85</v>
      </c>
      <c r="R6" s="23" t="s">
        <v>37</v>
      </c>
      <c r="S6" s="137" t="s">
        <v>38</v>
      </c>
      <c r="T6" s="137" t="s">
        <v>99</v>
      </c>
      <c r="U6" s="137"/>
      <c r="V6" s="138"/>
    </row>
    <row r="7" spans="1:22" s="132" customFormat="1" ht="12">
      <c r="A7" s="140"/>
      <c r="B7" s="141"/>
      <c r="C7" s="142"/>
      <c r="D7" s="141"/>
      <c r="E7" s="142" t="s">
        <v>93</v>
      </c>
      <c r="F7" s="141"/>
      <c r="G7" s="141"/>
      <c r="H7" s="140"/>
      <c r="I7" s="141"/>
      <c r="J7" s="142" t="s">
        <v>47</v>
      </c>
      <c r="K7" s="142" t="s">
        <v>94</v>
      </c>
      <c r="L7" s="142" t="s">
        <v>50</v>
      </c>
      <c r="M7" s="142" t="s">
        <v>51</v>
      </c>
      <c r="N7" s="142"/>
      <c r="O7" s="141" t="s">
        <v>48</v>
      </c>
      <c r="P7" s="142" t="s">
        <v>98</v>
      </c>
      <c r="Q7" s="142"/>
      <c r="R7" s="141"/>
      <c r="S7" s="141"/>
      <c r="T7" s="141" t="s">
        <v>100</v>
      </c>
      <c r="U7" s="141"/>
      <c r="V7" s="131"/>
    </row>
    <row r="8" spans="2:22" s="136" customFormat="1" ht="12">
      <c r="B8" s="143"/>
      <c r="C8" s="143"/>
      <c r="E8" s="143"/>
      <c r="F8" s="143"/>
      <c r="G8" s="143"/>
      <c r="H8" s="143"/>
      <c r="I8" s="143"/>
      <c r="J8" s="144"/>
      <c r="K8" s="143" t="s">
        <v>54</v>
      </c>
      <c r="L8" s="143"/>
      <c r="M8" s="143"/>
      <c r="N8" s="143"/>
      <c r="O8" s="143"/>
      <c r="P8" s="145"/>
      <c r="Q8" s="143"/>
      <c r="R8" s="143"/>
      <c r="S8" s="143"/>
      <c r="T8" s="143"/>
      <c r="U8" s="143"/>
      <c r="V8" s="135"/>
    </row>
    <row r="9" spans="1:66" s="121" customFormat="1" ht="12">
      <c r="A9" s="146" t="s">
        <v>104</v>
      </c>
      <c r="B9" s="147"/>
      <c r="C9" s="147"/>
      <c r="D9" s="148"/>
      <c r="E9" s="148"/>
      <c r="F9" s="148"/>
      <c r="G9" s="148"/>
      <c r="H9" s="147"/>
      <c r="I9" s="148"/>
      <c r="J9" s="148"/>
      <c r="K9" s="147"/>
      <c r="L9" s="148"/>
      <c r="M9" s="148"/>
      <c r="N9" s="148"/>
      <c r="O9" s="148"/>
      <c r="P9" s="148"/>
      <c r="Q9" s="148"/>
      <c r="R9" s="147"/>
      <c r="S9" s="147"/>
      <c r="T9" s="147"/>
      <c r="U9" s="149"/>
      <c r="V9" s="150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</row>
    <row r="10" spans="1:66" ht="12">
      <c r="A10" s="152" t="s">
        <v>105</v>
      </c>
      <c r="B10" s="147">
        <f>+B35+B60</f>
        <v>0</v>
      </c>
      <c r="C10" s="147">
        <f aca="true" t="shared" si="0" ref="C10:T12">+C35+C60</f>
        <v>0</v>
      </c>
      <c r="D10" s="147">
        <f t="shared" si="0"/>
        <v>0</v>
      </c>
      <c r="E10" s="147">
        <f t="shared" si="0"/>
        <v>1</v>
      </c>
      <c r="F10" s="147">
        <f t="shared" si="0"/>
        <v>0</v>
      </c>
      <c r="G10" s="147">
        <f t="shared" si="0"/>
        <v>1</v>
      </c>
      <c r="H10" s="147">
        <f t="shared" si="0"/>
        <v>0</v>
      </c>
      <c r="I10" s="147">
        <f t="shared" si="0"/>
        <v>0</v>
      </c>
      <c r="J10" s="147">
        <f t="shared" si="0"/>
        <v>1</v>
      </c>
      <c r="K10" s="147">
        <f t="shared" si="0"/>
        <v>0</v>
      </c>
      <c r="L10" s="147">
        <f t="shared" si="0"/>
        <v>2</v>
      </c>
      <c r="M10" s="147">
        <f t="shared" si="0"/>
        <v>0</v>
      </c>
      <c r="N10" s="147">
        <f t="shared" si="0"/>
        <v>0</v>
      </c>
      <c r="O10" s="147">
        <f t="shared" si="0"/>
        <v>848</v>
      </c>
      <c r="P10" s="147">
        <f t="shared" si="0"/>
        <v>0</v>
      </c>
      <c r="Q10" s="147">
        <f t="shared" si="0"/>
        <v>1</v>
      </c>
      <c r="R10" s="147">
        <f t="shared" si="0"/>
        <v>0</v>
      </c>
      <c r="S10" s="147">
        <f t="shared" si="0"/>
        <v>0</v>
      </c>
      <c r="T10" s="147">
        <f t="shared" si="0"/>
        <v>0</v>
      </c>
      <c r="U10" s="149">
        <f>SUM(B10:T10)</f>
        <v>854</v>
      </c>
      <c r="V10" s="150"/>
      <c r="W10" s="155"/>
      <c r="X10" s="155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</row>
    <row r="11" spans="1:66" ht="12">
      <c r="A11" s="152" t="s">
        <v>115</v>
      </c>
      <c r="B11" s="147">
        <f aca="true" t="shared" si="1" ref="B11:Q12">+B36+B61</f>
        <v>125</v>
      </c>
      <c r="C11" s="147">
        <f t="shared" si="1"/>
        <v>0</v>
      </c>
      <c r="D11" s="147">
        <f t="shared" si="1"/>
        <v>22</v>
      </c>
      <c r="E11" s="147">
        <f t="shared" si="1"/>
        <v>260</v>
      </c>
      <c r="F11" s="147">
        <f t="shared" si="1"/>
        <v>500</v>
      </c>
      <c r="G11" s="147">
        <f t="shared" si="1"/>
        <v>308</v>
      </c>
      <c r="H11" s="147">
        <f t="shared" si="1"/>
        <v>1835</v>
      </c>
      <c r="I11" s="147">
        <f t="shared" si="1"/>
        <v>1031</v>
      </c>
      <c r="J11" s="147">
        <f t="shared" si="1"/>
        <v>1931</v>
      </c>
      <c r="K11" s="147">
        <f t="shared" si="1"/>
        <v>317</v>
      </c>
      <c r="L11" s="147">
        <f t="shared" si="1"/>
        <v>192</v>
      </c>
      <c r="M11" s="147">
        <f t="shared" si="1"/>
        <v>84</v>
      </c>
      <c r="N11" s="147">
        <f t="shared" si="1"/>
        <v>168</v>
      </c>
      <c r="O11" s="147">
        <f t="shared" si="1"/>
        <v>774</v>
      </c>
      <c r="P11" s="147">
        <f t="shared" si="1"/>
        <v>471</v>
      </c>
      <c r="Q11" s="147">
        <f t="shared" si="1"/>
        <v>139</v>
      </c>
      <c r="R11" s="147">
        <f t="shared" si="0"/>
        <v>800</v>
      </c>
      <c r="S11" s="147">
        <f t="shared" si="0"/>
        <v>40</v>
      </c>
      <c r="T11" s="147">
        <f t="shared" si="0"/>
        <v>18</v>
      </c>
      <c r="U11" s="149">
        <f aca="true" t="shared" si="2" ref="U11:U27">SUM(B11:T11)</f>
        <v>9015</v>
      </c>
      <c r="V11" s="150"/>
      <c r="W11" s="155"/>
      <c r="X11" s="155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</row>
    <row r="12" spans="1:66" ht="12">
      <c r="A12" s="152" t="s">
        <v>107</v>
      </c>
      <c r="B12" s="147">
        <f t="shared" si="1"/>
        <v>125</v>
      </c>
      <c r="C12" s="147">
        <f t="shared" si="0"/>
        <v>0</v>
      </c>
      <c r="D12" s="147">
        <f t="shared" si="0"/>
        <v>22</v>
      </c>
      <c r="E12" s="147">
        <f t="shared" si="0"/>
        <v>261</v>
      </c>
      <c r="F12" s="147">
        <f t="shared" si="0"/>
        <v>500</v>
      </c>
      <c r="G12" s="147">
        <f t="shared" si="0"/>
        <v>309</v>
      </c>
      <c r="H12" s="147">
        <f t="shared" si="0"/>
        <v>1835</v>
      </c>
      <c r="I12" s="147">
        <f t="shared" si="0"/>
        <v>1031</v>
      </c>
      <c r="J12" s="147">
        <f t="shared" si="0"/>
        <v>1932</v>
      </c>
      <c r="K12" s="147">
        <f t="shared" si="0"/>
        <v>317</v>
      </c>
      <c r="L12" s="147">
        <f t="shared" si="0"/>
        <v>194</v>
      </c>
      <c r="M12" s="147">
        <f t="shared" si="0"/>
        <v>84</v>
      </c>
      <c r="N12" s="147">
        <f t="shared" si="0"/>
        <v>168</v>
      </c>
      <c r="O12" s="147">
        <f t="shared" si="0"/>
        <v>1622</v>
      </c>
      <c r="P12" s="147">
        <f t="shared" si="0"/>
        <v>471</v>
      </c>
      <c r="Q12" s="147">
        <f t="shared" si="0"/>
        <v>140</v>
      </c>
      <c r="R12" s="147">
        <f t="shared" si="0"/>
        <v>800</v>
      </c>
      <c r="S12" s="147">
        <f t="shared" si="0"/>
        <v>40</v>
      </c>
      <c r="T12" s="147">
        <f t="shared" si="0"/>
        <v>18</v>
      </c>
      <c r="U12" s="157">
        <f>+U10+U11</f>
        <v>9869</v>
      </c>
      <c r="V12" s="158"/>
      <c r="W12" s="155"/>
      <c r="X12" s="155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</row>
    <row r="13" spans="1:66" ht="12">
      <c r="A13" s="146" t="s">
        <v>108</v>
      </c>
      <c r="B13" s="147"/>
      <c r="C13" s="148"/>
      <c r="D13" s="148"/>
      <c r="E13" s="148"/>
      <c r="F13" s="148"/>
      <c r="G13" s="148"/>
      <c r="H13" s="147"/>
      <c r="I13" s="148"/>
      <c r="J13" s="148"/>
      <c r="K13" s="147"/>
      <c r="L13" s="148"/>
      <c r="M13" s="148"/>
      <c r="N13" s="148"/>
      <c r="O13" s="148"/>
      <c r="P13" s="148"/>
      <c r="Q13" s="148"/>
      <c r="R13" s="147"/>
      <c r="S13" s="147"/>
      <c r="T13" s="147"/>
      <c r="U13" s="149"/>
      <c r="V13" s="158"/>
      <c r="W13" s="155"/>
      <c r="X13" s="155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</row>
    <row r="14" spans="1:66" ht="12">
      <c r="A14" s="152" t="s">
        <v>105</v>
      </c>
      <c r="B14" s="147">
        <f>+B39+B64</f>
        <v>0</v>
      </c>
      <c r="C14" s="147">
        <f aca="true" t="shared" si="3" ref="C14:T14">+C39+C64</f>
        <v>0</v>
      </c>
      <c r="D14" s="147">
        <f t="shared" si="3"/>
        <v>0</v>
      </c>
      <c r="E14" s="147">
        <f t="shared" si="3"/>
        <v>0</v>
      </c>
      <c r="F14" s="147">
        <f t="shared" si="3"/>
        <v>0</v>
      </c>
      <c r="G14" s="147">
        <f t="shared" si="3"/>
        <v>0</v>
      </c>
      <c r="H14" s="147">
        <f t="shared" si="3"/>
        <v>0</v>
      </c>
      <c r="I14" s="147">
        <f t="shared" si="3"/>
        <v>0</v>
      </c>
      <c r="J14" s="147">
        <f t="shared" si="3"/>
        <v>0</v>
      </c>
      <c r="K14" s="147">
        <f t="shared" si="3"/>
        <v>0</v>
      </c>
      <c r="L14" s="147">
        <f t="shared" si="3"/>
        <v>0</v>
      </c>
      <c r="M14" s="147">
        <f t="shared" si="3"/>
        <v>0</v>
      </c>
      <c r="N14" s="147">
        <f t="shared" si="3"/>
        <v>0</v>
      </c>
      <c r="O14" s="147">
        <f t="shared" si="3"/>
        <v>0</v>
      </c>
      <c r="P14" s="147">
        <f t="shared" si="3"/>
        <v>0</v>
      </c>
      <c r="Q14" s="147">
        <f t="shared" si="3"/>
        <v>0</v>
      </c>
      <c r="R14" s="147">
        <f t="shared" si="3"/>
        <v>0</v>
      </c>
      <c r="S14" s="147">
        <f t="shared" si="3"/>
        <v>0</v>
      </c>
      <c r="T14" s="147">
        <f t="shared" si="3"/>
        <v>0</v>
      </c>
      <c r="U14" s="149">
        <f t="shared" si="2"/>
        <v>0</v>
      </c>
      <c r="V14" s="158"/>
      <c r="W14" s="155"/>
      <c r="X14" s="155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</row>
    <row r="15" spans="1:66" s="162" customFormat="1" ht="12">
      <c r="A15" s="152" t="s">
        <v>115</v>
      </c>
      <c r="B15" s="147">
        <f aca="true" t="shared" si="4" ref="B15:T15">+B40+B65</f>
        <v>1</v>
      </c>
      <c r="C15" s="147">
        <f t="shared" si="4"/>
        <v>0</v>
      </c>
      <c r="D15" s="147">
        <f t="shared" si="4"/>
        <v>0</v>
      </c>
      <c r="E15" s="147">
        <f t="shared" si="4"/>
        <v>11</v>
      </c>
      <c r="F15" s="147">
        <f t="shared" si="4"/>
        <v>6</v>
      </c>
      <c r="G15" s="147">
        <f t="shared" si="4"/>
        <v>1</v>
      </c>
      <c r="H15" s="147">
        <f t="shared" si="4"/>
        <v>2</v>
      </c>
      <c r="I15" s="147">
        <f t="shared" si="4"/>
        <v>16</v>
      </c>
      <c r="J15" s="147">
        <f t="shared" si="4"/>
        <v>0</v>
      </c>
      <c r="K15" s="147">
        <f t="shared" si="4"/>
        <v>0</v>
      </c>
      <c r="L15" s="147">
        <f t="shared" si="4"/>
        <v>2</v>
      </c>
      <c r="M15" s="147">
        <f t="shared" si="4"/>
        <v>1</v>
      </c>
      <c r="N15" s="147">
        <f t="shared" si="4"/>
        <v>0</v>
      </c>
      <c r="O15" s="147">
        <f t="shared" si="4"/>
        <v>1</v>
      </c>
      <c r="P15" s="147">
        <f t="shared" si="4"/>
        <v>0</v>
      </c>
      <c r="Q15" s="147">
        <f t="shared" si="4"/>
        <v>0</v>
      </c>
      <c r="R15" s="147">
        <f t="shared" si="4"/>
        <v>1</v>
      </c>
      <c r="S15" s="147">
        <f t="shared" si="4"/>
        <v>4</v>
      </c>
      <c r="T15" s="147">
        <f t="shared" si="4"/>
        <v>0</v>
      </c>
      <c r="U15" s="149">
        <f t="shared" si="2"/>
        <v>46</v>
      </c>
      <c r="V15" s="160"/>
      <c r="W15" s="155"/>
      <c r="X15" s="155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</row>
    <row r="16" spans="1:66" ht="12">
      <c r="A16" s="152" t="s">
        <v>107</v>
      </c>
      <c r="B16" s="147">
        <f aca="true" t="shared" si="5" ref="B16:T16">+B41+B66</f>
        <v>1</v>
      </c>
      <c r="C16" s="147">
        <f t="shared" si="5"/>
        <v>0</v>
      </c>
      <c r="D16" s="147">
        <f t="shared" si="5"/>
        <v>0</v>
      </c>
      <c r="E16" s="147">
        <f t="shared" si="5"/>
        <v>11</v>
      </c>
      <c r="F16" s="147">
        <f t="shared" si="5"/>
        <v>6</v>
      </c>
      <c r="G16" s="147">
        <f t="shared" si="5"/>
        <v>1</v>
      </c>
      <c r="H16" s="147">
        <f t="shared" si="5"/>
        <v>2</v>
      </c>
      <c r="I16" s="147">
        <f t="shared" si="5"/>
        <v>16</v>
      </c>
      <c r="J16" s="147">
        <f t="shared" si="5"/>
        <v>0</v>
      </c>
      <c r="K16" s="147">
        <f t="shared" si="5"/>
        <v>0</v>
      </c>
      <c r="L16" s="147">
        <f t="shared" si="5"/>
        <v>2</v>
      </c>
      <c r="M16" s="147">
        <f t="shared" si="5"/>
        <v>1</v>
      </c>
      <c r="N16" s="147">
        <f t="shared" si="5"/>
        <v>0</v>
      </c>
      <c r="O16" s="147">
        <f t="shared" si="5"/>
        <v>1</v>
      </c>
      <c r="P16" s="147">
        <f t="shared" si="5"/>
        <v>0</v>
      </c>
      <c r="Q16" s="147">
        <f t="shared" si="5"/>
        <v>0</v>
      </c>
      <c r="R16" s="147">
        <f t="shared" si="5"/>
        <v>1</v>
      </c>
      <c r="S16" s="147">
        <f t="shared" si="5"/>
        <v>4</v>
      </c>
      <c r="T16" s="147">
        <f t="shared" si="5"/>
        <v>0</v>
      </c>
      <c r="U16" s="157">
        <f>+U14+U15</f>
        <v>46</v>
      </c>
      <c r="V16" s="158"/>
      <c r="W16" s="155"/>
      <c r="X16" s="155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</row>
    <row r="17" spans="1:66" s="166" customFormat="1" ht="12">
      <c r="A17" s="146" t="s">
        <v>109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48"/>
      <c r="S17" s="163"/>
      <c r="T17" s="163"/>
      <c r="U17" s="149"/>
      <c r="V17" s="164"/>
      <c r="W17" s="155"/>
      <c r="X17" s="15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</row>
    <row r="18" spans="1:66" ht="13.5" customHeight="1">
      <c r="A18" s="152" t="s">
        <v>105</v>
      </c>
      <c r="B18" s="147">
        <f>+B43+B68</f>
        <v>773</v>
      </c>
      <c r="C18" s="147">
        <f aca="true" t="shared" si="6" ref="C18:T18">+C43+C68</f>
        <v>110</v>
      </c>
      <c r="D18" s="147">
        <f t="shared" si="6"/>
        <v>257</v>
      </c>
      <c r="E18" s="147">
        <f t="shared" si="6"/>
        <v>432</v>
      </c>
      <c r="F18" s="147">
        <f t="shared" si="6"/>
        <v>5013</v>
      </c>
      <c r="G18" s="147">
        <f t="shared" si="6"/>
        <v>255</v>
      </c>
      <c r="H18" s="147">
        <f t="shared" si="6"/>
        <v>944</v>
      </c>
      <c r="I18" s="147">
        <f t="shared" si="6"/>
        <v>4204</v>
      </c>
      <c r="J18" s="147">
        <f t="shared" si="6"/>
        <v>6642</v>
      </c>
      <c r="K18" s="147">
        <f t="shared" si="6"/>
        <v>1793</v>
      </c>
      <c r="L18" s="147">
        <f t="shared" si="6"/>
        <v>2350</v>
      </c>
      <c r="M18" s="147">
        <f t="shared" si="6"/>
        <v>121</v>
      </c>
      <c r="N18" s="147">
        <f t="shared" si="6"/>
        <v>804</v>
      </c>
      <c r="O18" s="147">
        <f t="shared" si="6"/>
        <v>2335</v>
      </c>
      <c r="P18" s="147">
        <f t="shared" si="6"/>
        <v>3029</v>
      </c>
      <c r="Q18" s="147">
        <f t="shared" si="6"/>
        <v>775</v>
      </c>
      <c r="R18" s="147">
        <f t="shared" si="6"/>
        <v>3916</v>
      </c>
      <c r="S18" s="147">
        <f t="shared" si="6"/>
        <v>364</v>
      </c>
      <c r="T18" s="147">
        <f t="shared" si="6"/>
        <v>490</v>
      </c>
      <c r="U18" s="149">
        <f t="shared" si="2"/>
        <v>34607</v>
      </c>
      <c r="V18" s="167"/>
      <c r="W18" s="168"/>
      <c r="X18" s="168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</row>
    <row r="19" spans="1:38" ht="12">
      <c r="A19" s="152" t="s">
        <v>115</v>
      </c>
      <c r="B19" s="147">
        <f aca="true" t="shared" si="7" ref="B19:T19">+B44+B69</f>
        <v>389</v>
      </c>
      <c r="C19" s="147">
        <f t="shared" si="7"/>
        <v>8</v>
      </c>
      <c r="D19" s="147">
        <f t="shared" si="7"/>
        <v>43</v>
      </c>
      <c r="E19" s="147">
        <f t="shared" si="7"/>
        <v>394</v>
      </c>
      <c r="F19" s="147">
        <f t="shared" si="7"/>
        <v>2935</v>
      </c>
      <c r="G19" s="147">
        <f t="shared" si="7"/>
        <v>124</v>
      </c>
      <c r="H19" s="147">
        <f t="shared" si="7"/>
        <v>1200</v>
      </c>
      <c r="I19" s="147">
        <f t="shared" si="7"/>
        <v>2575</v>
      </c>
      <c r="J19" s="147">
        <f t="shared" si="7"/>
        <v>3283</v>
      </c>
      <c r="K19" s="147">
        <f t="shared" si="7"/>
        <v>794</v>
      </c>
      <c r="L19" s="147">
        <f t="shared" si="7"/>
        <v>415</v>
      </c>
      <c r="M19" s="147">
        <f t="shared" si="7"/>
        <v>44</v>
      </c>
      <c r="N19" s="147">
        <f t="shared" si="7"/>
        <v>224</v>
      </c>
      <c r="O19" s="147">
        <f t="shared" si="7"/>
        <v>1129</v>
      </c>
      <c r="P19" s="147">
        <f t="shared" si="7"/>
        <v>1586</v>
      </c>
      <c r="Q19" s="147">
        <f t="shared" si="7"/>
        <v>346</v>
      </c>
      <c r="R19" s="147">
        <f t="shared" si="7"/>
        <v>1797</v>
      </c>
      <c r="S19" s="147">
        <f t="shared" si="7"/>
        <v>119</v>
      </c>
      <c r="T19" s="147">
        <f t="shared" si="7"/>
        <v>63</v>
      </c>
      <c r="U19" s="149">
        <f t="shared" si="2"/>
        <v>17468</v>
      </c>
      <c r="V19" s="167"/>
      <c r="W19" s="168"/>
      <c r="X19" s="168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</row>
    <row r="20" spans="1:66" ht="12">
      <c r="A20" s="152" t="s">
        <v>107</v>
      </c>
      <c r="B20" s="147">
        <f aca="true" t="shared" si="8" ref="B20:T20">+B45+B70</f>
        <v>1162</v>
      </c>
      <c r="C20" s="147">
        <f t="shared" si="8"/>
        <v>118</v>
      </c>
      <c r="D20" s="147">
        <f t="shared" si="8"/>
        <v>300</v>
      </c>
      <c r="E20" s="147">
        <f t="shared" si="8"/>
        <v>826</v>
      </c>
      <c r="F20" s="147">
        <f t="shared" si="8"/>
        <v>7948</v>
      </c>
      <c r="G20" s="147">
        <f t="shared" si="8"/>
        <v>379</v>
      </c>
      <c r="H20" s="147">
        <f t="shared" si="8"/>
        <v>2144</v>
      </c>
      <c r="I20" s="147">
        <f t="shared" si="8"/>
        <v>6779</v>
      </c>
      <c r="J20" s="147">
        <f t="shared" si="8"/>
        <v>9925</v>
      </c>
      <c r="K20" s="147">
        <f t="shared" si="8"/>
        <v>2587</v>
      </c>
      <c r="L20" s="147">
        <f t="shared" si="8"/>
        <v>2765</v>
      </c>
      <c r="M20" s="147">
        <f t="shared" si="8"/>
        <v>165</v>
      </c>
      <c r="N20" s="147">
        <f t="shared" si="8"/>
        <v>1028</v>
      </c>
      <c r="O20" s="147">
        <f t="shared" si="8"/>
        <v>3464</v>
      </c>
      <c r="P20" s="147">
        <f t="shared" si="8"/>
        <v>4615</v>
      </c>
      <c r="Q20" s="147">
        <f t="shared" si="8"/>
        <v>1121</v>
      </c>
      <c r="R20" s="147">
        <f t="shared" si="8"/>
        <v>5713</v>
      </c>
      <c r="S20" s="147">
        <f t="shared" si="8"/>
        <v>483</v>
      </c>
      <c r="T20" s="147">
        <f t="shared" si="8"/>
        <v>553</v>
      </c>
      <c r="U20" s="157">
        <f>+U18+U19</f>
        <v>52075</v>
      </c>
      <c r="V20" s="158"/>
      <c r="W20" s="155"/>
      <c r="X20" s="155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</row>
    <row r="21" spans="1:38" ht="24">
      <c r="A21" s="146" t="s">
        <v>117</v>
      </c>
      <c r="B21" s="169"/>
      <c r="C21" s="170"/>
      <c r="D21" s="170"/>
      <c r="E21" s="170"/>
      <c r="F21" s="169"/>
      <c r="G21" s="169"/>
      <c r="H21" s="171"/>
      <c r="I21" s="169"/>
      <c r="J21" s="172"/>
      <c r="K21" s="170"/>
      <c r="L21" s="172"/>
      <c r="M21" s="172"/>
      <c r="N21" s="170"/>
      <c r="O21" s="169"/>
      <c r="P21" s="172"/>
      <c r="Q21" s="170"/>
      <c r="R21" s="169"/>
      <c r="S21" s="169"/>
      <c r="T21" s="169"/>
      <c r="U21" s="149"/>
      <c r="V21" s="171"/>
      <c r="W21" s="171"/>
      <c r="X21" s="171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</row>
    <row r="22" spans="1:38" ht="12">
      <c r="A22" s="152" t="s">
        <v>105</v>
      </c>
      <c r="B22" s="147">
        <f>+B47+B72</f>
        <v>143</v>
      </c>
      <c r="C22" s="147">
        <f aca="true" t="shared" si="9" ref="C22:T22">+C47+C72</f>
        <v>0</v>
      </c>
      <c r="D22" s="147">
        <f t="shared" si="9"/>
        <v>94</v>
      </c>
      <c r="E22" s="147">
        <f t="shared" si="9"/>
        <v>187</v>
      </c>
      <c r="F22" s="147">
        <f t="shared" si="9"/>
        <v>1176</v>
      </c>
      <c r="G22" s="147">
        <f t="shared" si="9"/>
        <v>43</v>
      </c>
      <c r="H22" s="147">
        <f t="shared" si="9"/>
        <v>4906</v>
      </c>
      <c r="I22" s="147">
        <f t="shared" si="9"/>
        <v>1852</v>
      </c>
      <c r="J22" s="147">
        <f t="shared" si="9"/>
        <v>2269</v>
      </c>
      <c r="K22" s="147">
        <f t="shared" si="9"/>
        <v>376</v>
      </c>
      <c r="L22" s="147">
        <f t="shared" si="9"/>
        <v>59</v>
      </c>
      <c r="M22" s="147">
        <f t="shared" si="9"/>
        <v>74</v>
      </c>
      <c r="N22" s="147">
        <f t="shared" si="9"/>
        <v>608</v>
      </c>
      <c r="O22" s="147">
        <f t="shared" si="9"/>
        <v>447</v>
      </c>
      <c r="P22" s="147">
        <f t="shared" si="9"/>
        <v>975</v>
      </c>
      <c r="Q22" s="147">
        <f t="shared" si="9"/>
        <v>87</v>
      </c>
      <c r="R22" s="147">
        <f t="shared" si="9"/>
        <v>1177</v>
      </c>
      <c r="S22" s="147">
        <f t="shared" si="9"/>
        <v>151</v>
      </c>
      <c r="T22" s="147">
        <f t="shared" si="9"/>
        <v>170</v>
      </c>
      <c r="U22" s="149">
        <f t="shared" si="2"/>
        <v>14794</v>
      </c>
      <c r="V22" s="150"/>
      <c r="W22" s="150"/>
      <c r="X22" s="150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</row>
    <row r="23" spans="1:38" ht="12">
      <c r="A23" s="152" t="s">
        <v>115</v>
      </c>
      <c r="B23" s="147">
        <f aca="true" t="shared" si="10" ref="B23:T23">+B48+B73</f>
        <v>42</v>
      </c>
      <c r="C23" s="147">
        <f t="shared" si="10"/>
        <v>0</v>
      </c>
      <c r="D23" s="147">
        <f t="shared" si="10"/>
        <v>2</v>
      </c>
      <c r="E23" s="147">
        <f t="shared" si="10"/>
        <v>53</v>
      </c>
      <c r="F23" s="147">
        <f t="shared" si="10"/>
        <v>368</v>
      </c>
      <c r="G23" s="147">
        <f t="shared" si="10"/>
        <v>1</v>
      </c>
      <c r="H23" s="147">
        <f t="shared" si="10"/>
        <v>336</v>
      </c>
      <c r="I23" s="147">
        <f t="shared" si="10"/>
        <v>709</v>
      </c>
      <c r="J23" s="147">
        <f t="shared" si="10"/>
        <v>748</v>
      </c>
      <c r="K23" s="147">
        <f t="shared" si="10"/>
        <v>91</v>
      </c>
      <c r="L23" s="147">
        <f t="shared" si="10"/>
        <v>7</v>
      </c>
      <c r="M23" s="147">
        <f t="shared" si="10"/>
        <v>14</v>
      </c>
      <c r="N23" s="147">
        <f t="shared" si="10"/>
        <v>88</v>
      </c>
      <c r="O23" s="147">
        <f t="shared" si="10"/>
        <v>129</v>
      </c>
      <c r="P23" s="147">
        <f t="shared" si="10"/>
        <v>217</v>
      </c>
      <c r="Q23" s="147">
        <f t="shared" si="10"/>
        <v>15</v>
      </c>
      <c r="R23" s="147">
        <f t="shared" si="10"/>
        <v>330</v>
      </c>
      <c r="S23" s="147">
        <f t="shared" si="10"/>
        <v>23</v>
      </c>
      <c r="T23" s="147">
        <f t="shared" si="10"/>
        <v>37</v>
      </c>
      <c r="U23" s="149">
        <f t="shared" si="2"/>
        <v>3210</v>
      </c>
      <c r="V23" s="164"/>
      <c r="W23" s="160"/>
      <c r="X23" s="160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</row>
    <row r="24" spans="1:66" ht="12">
      <c r="A24" s="152" t="s">
        <v>107</v>
      </c>
      <c r="B24" s="147">
        <f aca="true" t="shared" si="11" ref="B24:T24">+B49+B74</f>
        <v>185</v>
      </c>
      <c r="C24" s="147">
        <f t="shared" si="11"/>
        <v>0</v>
      </c>
      <c r="D24" s="147">
        <f t="shared" si="11"/>
        <v>96</v>
      </c>
      <c r="E24" s="147">
        <f t="shared" si="11"/>
        <v>240</v>
      </c>
      <c r="F24" s="147">
        <f t="shared" si="11"/>
        <v>1544</v>
      </c>
      <c r="G24" s="147">
        <f t="shared" si="11"/>
        <v>44</v>
      </c>
      <c r="H24" s="147">
        <f t="shared" si="11"/>
        <v>5242</v>
      </c>
      <c r="I24" s="147">
        <f t="shared" si="11"/>
        <v>2561</v>
      </c>
      <c r="J24" s="147">
        <f t="shared" si="11"/>
        <v>3017</v>
      </c>
      <c r="K24" s="147">
        <f t="shared" si="11"/>
        <v>467</v>
      </c>
      <c r="L24" s="147">
        <f t="shared" si="11"/>
        <v>66</v>
      </c>
      <c r="M24" s="147">
        <f t="shared" si="11"/>
        <v>88</v>
      </c>
      <c r="N24" s="147">
        <f t="shared" si="11"/>
        <v>696</v>
      </c>
      <c r="O24" s="147">
        <f t="shared" si="11"/>
        <v>576</v>
      </c>
      <c r="P24" s="147">
        <f t="shared" si="11"/>
        <v>1192</v>
      </c>
      <c r="Q24" s="147">
        <f t="shared" si="11"/>
        <v>102</v>
      </c>
      <c r="R24" s="147">
        <f t="shared" si="11"/>
        <v>1507</v>
      </c>
      <c r="S24" s="147">
        <f t="shared" si="11"/>
        <v>174</v>
      </c>
      <c r="T24" s="147">
        <f t="shared" si="11"/>
        <v>207</v>
      </c>
      <c r="U24" s="157">
        <f>+U22+U23</f>
        <v>18004</v>
      </c>
      <c r="V24" s="158"/>
      <c r="W24" s="155"/>
      <c r="X24" s="155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</row>
    <row r="25" spans="1:38" ht="12">
      <c r="A25" s="146" t="s">
        <v>111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49"/>
      <c r="V25" s="163"/>
      <c r="W25" s="173"/>
      <c r="X25" s="173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</row>
    <row r="26" spans="1:38" ht="12">
      <c r="A26" s="152" t="s">
        <v>105</v>
      </c>
      <c r="B26" s="147">
        <f>+B51+B76</f>
        <v>0</v>
      </c>
      <c r="C26" s="147">
        <f aca="true" t="shared" si="12" ref="C26:T26">+C51+C76</f>
        <v>447</v>
      </c>
      <c r="D26" s="147">
        <f t="shared" si="12"/>
        <v>0</v>
      </c>
      <c r="E26" s="147">
        <f t="shared" si="12"/>
        <v>0</v>
      </c>
      <c r="F26" s="147">
        <f t="shared" si="12"/>
        <v>0</v>
      </c>
      <c r="G26" s="147">
        <f t="shared" si="12"/>
        <v>1879</v>
      </c>
      <c r="H26" s="147">
        <f t="shared" si="12"/>
        <v>0</v>
      </c>
      <c r="I26" s="147">
        <f t="shared" si="12"/>
        <v>737</v>
      </c>
      <c r="J26" s="147">
        <f t="shared" si="12"/>
        <v>0</v>
      </c>
      <c r="K26" s="147">
        <f t="shared" si="12"/>
        <v>0</v>
      </c>
      <c r="L26" s="147">
        <f t="shared" si="12"/>
        <v>2144</v>
      </c>
      <c r="M26" s="147">
        <f t="shared" si="12"/>
        <v>775</v>
      </c>
      <c r="N26" s="147">
        <f t="shared" si="12"/>
        <v>0</v>
      </c>
      <c r="O26" s="147">
        <f t="shared" si="12"/>
        <v>0</v>
      </c>
      <c r="P26" s="147">
        <f t="shared" si="12"/>
        <v>0</v>
      </c>
      <c r="Q26" s="147">
        <f t="shared" si="12"/>
        <v>0</v>
      </c>
      <c r="R26" s="147">
        <f t="shared" si="12"/>
        <v>0</v>
      </c>
      <c r="S26" s="147">
        <f t="shared" si="12"/>
        <v>0</v>
      </c>
      <c r="T26" s="147">
        <f t="shared" si="12"/>
        <v>0</v>
      </c>
      <c r="U26" s="149">
        <f t="shared" si="2"/>
        <v>5982</v>
      </c>
      <c r="V26" s="177"/>
      <c r="W26" s="159"/>
      <c r="X26" s="159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</row>
    <row r="27" spans="1:38" ht="12">
      <c r="A27" s="152" t="s">
        <v>115</v>
      </c>
      <c r="B27" s="147">
        <f aca="true" t="shared" si="13" ref="B27:T27">+B52+B77</f>
        <v>0</v>
      </c>
      <c r="C27" s="147">
        <f t="shared" si="13"/>
        <v>183</v>
      </c>
      <c r="D27" s="147">
        <f t="shared" si="13"/>
        <v>0</v>
      </c>
      <c r="E27" s="147">
        <f t="shared" si="13"/>
        <v>0</v>
      </c>
      <c r="F27" s="147">
        <f t="shared" si="13"/>
        <v>0</v>
      </c>
      <c r="G27" s="147">
        <f t="shared" si="13"/>
        <v>361</v>
      </c>
      <c r="H27" s="147">
        <f t="shared" si="13"/>
        <v>0</v>
      </c>
      <c r="I27" s="147">
        <f t="shared" si="13"/>
        <v>434</v>
      </c>
      <c r="J27" s="147">
        <f t="shared" si="13"/>
        <v>0</v>
      </c>
      <c r="K27" s="147">
        <f t="shared" si="13"/>
        <v>0</v>
      </c>
      <c r="L27" s="147">
        <f t="shared" si="13"/>
        <v>652</v>
      </c>
      <c r="M27" s="147">
        <f t="shared" si="13"/>
        <v>376</v>
      </c>
      <c r="N27" s="147">
        <f t="shared" si="13"/>
        <v>0</v>
      </c>
      <c r="O27" s="147">
        <f t="shared" si="13"/>
        <v>0</v>
      </c>
      <c r="P27" s="147">
        <f t="shared" si="13"/>
        <v>0</v>
      </c>
      <c r="Q27" s="147">
        <f t="shared" si="13"/>
        <v>0</v>
      </c>
      <c r="R27" s="147">
        <f t="shared" si="13"/>
        <v>0</v>
      </c>
      <c r="S27" s="147">
        <f t="shared" si="13"/>
        <v>0</v>
      </c>
      <c r="T27" s="147">
        <f t="shared" si="13"/>
        <v>0</v>
      </c>
      <c r="U27" s="149">
        <f t="shared" si="2"/>
        <v>2006</v>
      </c>
      <c r="V27" s="150"/>
      <c r="W27" s="155"/>
      <c r="X27" s="155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</row>
    <row r="28" spans="1:66" ht="12">
      <c r="A28" s="152" t="s">
        <v>107</v>
      </c>
      <c r="B28" s="147">
        <f aca="true" t="shared" si="14" ref="B28:T28">+B53+B78</f>
        <v>0</v>
      </c>
      <c r="C28" s="147">
        <f t="shared" si="14"/>
        <v>630</v>
      </c>
      <c r="D28" s="147">
        <f t="shared" si="14"/>
        <v>0</v>
      </c>
      <c r="E28" s="147">
        <f t="shared" si="14"/>
        <v>0</v>
      </c>
      <c r="F28" s="147">
        <f t="shared" si="14"/>
        <v>0</v>
      </c>
      <c r="G28" s="147">
        <f t="shared" si="14"/>
        <v>2240</v>
      </c>
      <c r="H28" s="147">
        <f t="shared" si="14"/>
        <v>0</v>
      </c>
      <c r="I28" s="147">
        <f t="shared" si="14"/>
        <v>1171</v>
      </c>
      <c r="J28" s="147">
        <f t="shared" si="14"/>
        <v>0</v>
      </c>
      <c r="K28" s="147">
        <f t="shared" si="14"/>
        <v>0</v>
      </c>
      <c r="L28" s="147">
        <f t="shared" si="14"/>
        <v>2796</v>
      </c>
      <c r="M28" s="147">
        <f t="shared" si="14"/>
        <v>1151</v>
      </c>
      <c r="N28" s="147">
        <f t="shared" si="14"/>
        <v>0</v>
      </c>
      <c r="O28" s="147">
        <f t="shared" si="14"/>
        <v>0</v>
      </c>
      <c r="P28" s="147">
        <f t="shared" si="14"/>
        <v>0</v>
      </c>
      <c r="Q28" s="147">
        <f t="shared" si="14"/>
        <v>0</v>
      </c>
      <c r="R28" s="147">
        <f t="shared" si="14"/>
        <v>0</v>
      </c>
      <c r="S28" s="147">
        <f t="shared" si="14"/>
        <v>0</v>
      </c>
      <c r="T28" s="147">
        <f t="shared" si="14"/>
        <v>0</v>
      </c>
      <c r="U28" s="157">
        <f>+U26+U27</f>
        <v>7988</v>
      </c>
      <c r="V28" s="158"/>
      <c r="W28" s="155"/>
      <c r="X28" s="155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</row>
    <row r="29" spans="1:38" ht="12">
      <c r="A29" s="146" t="s">
        <v>112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9"/>
      <c r="V29" s="150"/>
      <c r="W29" s="155"/>
      <c r="X29" s="155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</row>
    <row r="30" spans="1:24" ht="12">
      <c r="A30" s="152" t="s">
        <v>105</v>
      </c>
      <c r="B30" s="180">
        <f>+B26+B22+B18+B14+B10</f>
        <v>916</v>
      </c>
      <c r="C30" s="180">
        <f aca="true" t="shared" si="15" ref="C30:U31">+C26+C22+C18+C14+C10</f>
        <v>557</v>
      </c>
      <c r="D30" s="180">
        <f t="shared" si="15"/>
        <v>351</v>
      </c>
      <c r="E30" s="180">
        <f t="shared" si="15"/>
        <v>620</v>
      </c>
      <c r="F30" s="180">
        <f t="shared" si="15"/>
        <v>6189</v>
      </c>
      <c r="G30" s="180">
        <f t="shared" si="15"/>
        <v>2178</v>
      </c>
      <c r="H30" s="180">
        <f t="shared" si="15"/>
        <v>5850</v>
      </c>
      <c r="I30" s="180">
        <f t="shared" si="15"/>
        <v>6793</v>
      </c>
      <c r="J30" s="180">
        <f t="shared" si="15"/>
        <v>8912</v>
      </c>
      <c r="K30" s="180">
        <f t="shared" si="15"/>
        <v>2169</v>
      </c>
      <c r="L30" s="180">
        <f t="shared" si="15"/>
        <v>4555</v>
      </c>
      <c r="M30" s="180">
        <f t="shared" si="15"/>
        <v>970</v>
      </c>
      <c r="N30" s="180">
        <f t="shared" si="15"/>
        <v>1412</v>
      </c>
      <c r="O30" s="180">
        <f t="shared" si="15"/>
        <v>3630</v>
      </c>
      <c r="P30" s="180">
        <f t="shared" si="15"/>
        <v>4004</v>
      </c>
      <c r="Q30" s="180">
        <f t="shared" si="15"/>
        <v>863</v>
      </c>
      <c r="R30" s="180">
        <f t="shared" si="15"/>
        <v>5093</v>
      </c>
      <c r="S30" s="180">
        <f t="shared" si="15"/>
        <v>515</v>
      </c>
      <c r="T30" s="180">
        <f t="shared" si="15"/>
        <v>660</v>
      </c>
      <c r="U30" s="180">
        <f t="shared" si="15"/>
        <v>56237</v>
      </c>
      <c r="V30" s="181"/>
      <c r="W30" s="182"/>
      <c r="X30" s="182"/>
    </row>
    <row r="31" spans="1:24" ht="12">
      <c r="A31" s="152" t="s">
        <v>115</v>
      </c>
      <c r="B31" s="180">
        <f>+B27+B23+B19+B15+B11</f>
        <v>557</v>
      </c>
      <c r="C31" s="180">
        <f t="shared" si="15"/>
        <v>191</v>
      </c>
      <c r="D31" s="180">
        <f t="shared" si="15"/>
        <v>67</v>
      </c>
      <c r="E31" s="180">
        <f t="shared" si="15"/>
        <v>718</v>
      </c>
      <c r="F31" s="180">
        <f t="shared" si="15"/>
        <v>3809</v>
      </c>
      <c r="G31" s="180">
        <f t="shared" si="15"/>
        <v>795</v>
      </c>
      <c r="H31" s="180">
        <f t="shared" si="15"/>
        <v>3373</v>
      </c>
      <c r="I31" s="180">
        <f t="shared" si="15"/>
        <v>4765</v>
      </c>
      <c r="J31" s="180">
        <f t="shared" si="15"/>
        <v>5962</v>
      </c>
      <c r="K31" s="180">
        <f t="shared" si="15"/>
        <v>1202</v>
      </c>
      <c r="L31" s="180">
        <f t="shared" si="15"/>
        <v>1268</v>
      </c>
      <c r="M31" s="180">
        <f t="shared" si="15"/>
        <v>519</v>
      </c>
      <c r="N31" s="180">
        <f t="shared" si="15"/>
        <v>480</v>
      </c>
      <c r="O31" s="180">
        <f t="shared" si="15"/>
        <v>2033</v>
      </c>
      <c r="P31" s="180">
        <f t="shared" si="15"/>
        <v>2274</v>
      </c>
      <c r="Q31" s="180">
        <f t="shared" si="15"/>
        <v>500</v>
      </c>
      <c r="R31" s="180">
        <f t="shared" si="15"/>
        <v>2928</v>
      </c>
      <c r="S31" s="180">
        <f t="shared" si="15"/>
        <v>186</v>
      </c>
      <c r="T31" s="180">
        <f t="shared" si="15"/>
        <v>118</v>
      </c>
      <c r="U31" s="180">
        <f t="shared" si="15"/>
        <v>31745</v>
      </c>
      <c r="V31" s="181"/>
      <c r="W31" s="182"/>
      <c r="X31" s="182"/>
    </row>
    <row r="32" spans="1:66" ht="12">
      <c r="A32" s="152" t="s">
        <v>107</v>
      </c>
      <c r="B32" s="157">
        <f aca="true" t="shared" si="16" ref="B32:U32">+B30+B31</f>
        <v>1473</v>
      </c>
      <c r="C32" s="157">
        <f t="shared" si="16"/>
        <v>748</v>
      </c>
      <c r="D32" s="157">
        <f t="shared" si="16"/>
        <v>418</v>
      </c>
      <c r="E32" s="157">
        <f t="shared" si="16"/>
        <v>1338</v>
      </c>
      <c r="F32" s="157">
        <f t="shared" si="16"/>
        <v>9998</v>
      </c>
      <c r="G32" s="157">
        <f t="shared" si="16"/>
        <v>2973</v>
      </c>
      <c r="H32" s="157">
        <f t="shared" si="16"/>
        <v>9223</v>
      </c>
      <c r="I32" s="157">
        <f t="shared" si="16"/>
        <v>11558</v>
      </c>
      <c r="J32" s="157">
        <f t="shared" si="16"/>
        <v>14874</v>
      </c>
      <c r="K32" s="157">
        <f t="shared" si="16"/>
        <v>3371</v>
      </c>
      <c r="L32" s="157">
        <f t="shared" si="16"/>
        <v>5823</v>
      </c>
      <c r="M32" s="157">
        <f t="shared" si="16"/>
        <v>1489</v>
      </c>
      <c r="N32" s="157">
        <f t="shared" si="16"/>
        <v>1892</v>
      </c>
      <c r="O32" s="157">
        <f t="shared" si="16"/>
        <v>5663</v>
      </c>
      <c r="P32" s="157">
        <f t="shared" si="16"/>
        <v>6278</v>
      </c>
      <c r="Q32" s="157">
        <f t="shared" si="16"/>
        <v>1363</v>
      </c>
      <c r="R32" s="157">
        <f t="shared" si="16"/>
        <v>8021</v>
      </c>
      <c r="S32" s="157">
        <f t="shared" si="16"/>
        <v>701</v>
      </c>
      <c r="T32" s="157">
        <f t="shared" si="16"/>
        <v>778</v>
      </c>
      <c r="U32" s="157">
        <f t="shared" si="16"/>
        <v>87982</v>
      </c>
      <c r="V32" s="158"/>
      <c r="W32" s="155"/>
      <c r="X32" s="155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</row>
    <row r="33" spans="2:22" s="136" customFormat="1" ht="12">
      <c r="B33" s="144"/>
      <c r="C33" s="144"/>
      <c r="E33" s="144"/>
      <c r="F33" s="144"/>
      <c r="G33" s="144"/>
      <c r="H33" s="144"/>
      <c r="I33" s="144"/>
      <c r="J33" s="144"/>
      <c r="K33" s="144" t="s">
        <v>114</v>
      </c>
      <c r="L33" s="144"/>
      <c r="M33" s="144"/>
      <c r="N33" s="144"/>
      <c r="O33" s="144"/>
      <c r="P33" s="207"/>
      <c r="Q33" s="144"/>
      <c r="R33" s="144"/>
      <c r="S33" s="144"/>
      <c r="T33" s="144"/>
      <c r="U33" s="144"/>
      <c r="V33" s="135"/>
    </row>
    <row r="34" spans="1:66" s="121" customFormat="1" ht="12">
      <c r="A34" s="146" t="s">
        <v>104</v>
      </c>
      <c r="B34" s="147"/>
      <c r="C34" s="147"/>
      <c r="D34" s="148"/>
      <c r="E34" s="148"/>
      <c r="F34" s="148"/>
      <c r="G34" s="148"/>
      <c r="H34" s="147"/>
      <c r="I34" s="148"/>
      <c r="J34" s="148"/>
      <c r="K34" s="147"/>
      <c r="L34" s="148"/>
      <c r="M34" s="148"/>
      <c r="N34" s="148"/>
      <c r="O34" s="148"/>
      <c r="P34" s="148"/>
      <c r="Q34" s="148"/>
      <c r="R34" s="147"/>
      <c r="S34" s="147"/>
      <c r="T34" s="147"/>
      <c r="U34" s="149"/>
      <c r="V34" s="150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</row>
    <row r="35" spans="1:66" ht="12">
      <c r="A35" s="152" t="s">
        <v>105</v>
      </c>
      <c r="B35" s="147"/>
      <c r="C35" s="153"/>
      <c r="D35" s="153"/>
      <c r="E35" s="153"/>
      <c r="F35" s="148"/>
      <c r="G35" s="154"/>
      <c r="H35" s="154"/>
      <c r="I35" s="148"/>
      <c r="J35" s="154"/>
      <c r="K35" s="154"/>
      <c r="L35" s="154">
        <v>1</v>
      </c>
      <c r="M35" s="154"/>
      <c r="N35" s="148"/>
      <c r="O35" s="148">
        <v>67</v>
      </c>
      <c r="P35" s="154"/>
      <c r="Q35" s="154">
        <v>1</v>
      </c>
      <c r="R35" s="147"/>
      <c r="S35" s="147"/>
      <c r="T35" s="154"/>
      <c r="U35" s="149">
        <f>SUM(B35:T35)</f>
        <v>69</v>
      </c>
      <c r="V35" s="150"/>
      <c r="W35" s="155"/>
      <c r="X35" s="155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</row>
    <row r="36" spans="1:66" ht="12">
      <c r="A36" s="152" t="s">
        <v>115</v>
      </c>
      <c r="B36" s="147">
        <v>88</v>
      </c>
      <c r="C36" s="153"/>
      <c r="D36" s="153">
        <v>18</v>
      </c>
      <c r="E36" s="153">
        <v>63</v>
      </c>
      <c r="F36" s="148">
        <f>41+52+176</f>
        <v>269</v>
      </c>
      <c r="G36" s="154">
        <v>94</v>
      </c>
      <c r="H36" s="148">
        <v>793</v>
      </c>
      <c r="I36" s="148">
        <f>835+15</f>
        <v>850</v>
      </c>
      <c r="J36" s="148">
        <v>816</v>
      </c>
      <c r="K36" s="154">
        <v>46</v>
      </c>
      <c r="L36" s="154">
        <v>112</v>
      </c>
      <c r="M36" s="154">
        <v>27</v>
      </c>
      <c r="N36" s="148">
        <v>42</v>
      </c>
      <c r="O36" s="154">
        <v>56</v>
      </c>
      <c r="P36" s="148">
        <v>263</v>
      </c>
      <c r="Q36" s="154">
        <v>72</v>
      </c>
      <c r="R36" s="147">
        <f>95+289</f>
        <v>384</v>
      </c>
      <c r="S36" s="147">
        <v>23</v>
      </c>
      <c r="T36" s="154">
        <v>2</v>
      </c>
      <c r="U36" s="149">
        <f>SUM(B36:T36)</f>
        <v>4018</v>
      </c>
      <c r="V36" s="150"/>
      <c r="W36" s="155"/>
      <c r="X36" s="155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</row>
    <row r="37" spans="1:66" ht="12">
      <c r="A37" s="152" t="s">
        <v>107</v>
      </c>
      <c r="B37" s="157">
        <f aca="true" t="shared" si="17" ref="B37:U37">+B35+B36</f>
        <v>88</v>
      </c>
      <c r="C37" s="157">
        <f t="shared" si="17"/>
        <v>0</v>
      </c>
      <c r="D37" s="157">
        <f t="shared" si="17"/>
        <v>18</v>
      </c>
      <c r="E37" s="157">
        <f t="shared" si="17"/>
        <v>63</v>
      </c>
      <c r="F37" s="157">
        <f t="shared" si="17"/>
        <v>269</v>
      </c>
      <c r="G37" s="157">
        <f t="shared" si="17"/>
        <v>94</v>
      </c>
      <c r="H37" s="157">
        <f t="shared" si="17"/>
        <v>793</v>
      </c>
      <c r="I37" s="157">
        <f t="shared" si="17"/>
        <v>850</v>
      </c>
      <c r="J37" s="157">
        <f t="shared" si="17"/>
        <v>816</v>
      </c>
      <c r="K37" s="157">
        <f t="shared" si="17"/>
        <v>46</v>
      </c>
      <c r="L37" s="157">
        <f t="shared" si="17"/>
        <v>113</v>
      </c>
      <c r="M37" s="157">
        <f t="shared" si="17"/>
        <v>27</v>
      </c>
      <c r="N37" s="157">
        <f t="shared" si="17"/>
        <v>42</v>
      </c>
      <c r="O37" s="157">
        <f t="shared" si="17"/>
        <v>123</v>
      </c>
      <c r="P37" s="157">
        <f t="shared" si="17"/>
        <v>263</v>
      </c>
      <c r="Q37" s="157">
        <f t="shared" si="17"/>
        <v>73</v>
      </c>
      <c r="R37" s="157">
        <f t="shared" si="17"/>
        <v>384</v>
      </c>
      <c r="S37" s="157">
        <f t="shared" si="17"/>
        <v>23</v>
      </c>
      <c r="T37" s="157">
        <f t="shared" si="17"/>
        <v>2</v>
      </c>
      <c r="U37" s="157">
        <f t="shared" si="17"/>
        <v>4087</v>
      </c>
      <c r="V37" s="158"/>
      <c r="W37" s="155"/>
      <c r="X37" s="155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</row>
    <row r="38" spans="1:66" ht="12">
      <c r="A38" s="146" t="s">
        <v>108</v>
      </c>
      <c r="B38" s="147"/>
      <c r="C38" s="148"/>
      <c r="D38" s="148"/>
      <c r="E38" s="148"/>
      <c r="F38" s="148"/>
      <c r="G38" s="148"/>
      <c r="H38" s="147"/>
      <c r="I38" s="148"/>
      <c r="J38" s="148"/>
      <c r="K38" s="147"/>
      <c r="L38" s="148"/>
      <c r="M38" s="148"/>
      <c r="N38" s="148"/>
      <c r="O38" s="148"/>
      <c r="P38" s="148"/>
      <c r="Q38" s="148"/>
      <c r="R38" s="147"/>
      <c r="S38" s="147"/>
      <c r="T38" s="147"/>
      <c r="U38" s="149"/>
      <c r="V38" s="158"/>
      <c r="W38" s="155"/>
      <c r="X38" s="155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</row>
    <row r="39" spans="1:66" ht="12">
      <c r="A39" s="152" t="s">
        <v>105</v>
      </c>
      <c r="B39" s="147"/>
      <c r="C39" s="153"/>
      <c r="D39" s="153"/>
      <c r="E39" s="153"/>
      <c r="F39" s="148"/>
      <c r="G39" s="154"/>
      <c r="H39" s="154"/>
      <c r="I39" s="148"/>
      <c r="J39" s="154"/>
      <c r="K39" s="154"/>
      <c r="L39" s="154"/>
      <c r="M39" s="154"/>
      <c r="N39" s="148"/>
      <c r="O39" s="148"/>
      <c r="P39" s="154"/>
      <c r="Q39" s="154"/>
      <c r="R39" s="147"/>
      <c r="S39" s="147"/>
      <c r="T39" s="154"/>
      <c r="U39" s="149">
        <f>SUM(B39:T39)</f>
        <v>0</v>
      </c>
      <c r="V39" s="158"/>
      <c r="W39" s="155"/>
      <c r="X39" s="155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</row>
    <row r="40" spans="1:66" s="162" customFormat="1" ht="12">
      <c r="A40" s="152" t="s">
        <v>115</v>
      </c>
      <c r="B40" s="147">
        <v>1</v>
      </c>
      <c r="C40" s="153"/>
      <c r="D40" s="153"/>
      <c r="E40" s="153">
        <v>2</v>
      </c>
      <c r="F40" s="148">
        <v>3</v>
      </c>
      <c r="G40" s="154"/>
      <c r="H40" s="148">
        <v>1</v>
      </c>
      <c r="I40" s="148">
        <v>13</v>
      </c>
      <c r="J40" s="148"/>
      <c r="K40" s="154"/>
      <c r="L40" s="154">
        <v>1</v>
      </c>
      <c r="M40" s="154">
        <v>1</v>
      </c>
      <c r="N40" s="148"/>
      <c r="O40" s="154">
        <v>0</v>
      </c>
      <c r="P40" s="148"/>
      <c r="Q40" s="154"/>
      <c r="R40" s="147">
        <v>1</v>
      </c>
      <c r="S40" s="147">
        <v>1</v>
      </c>
      <c r="T40" s="154"/>
      <c r="U40" s="149">
        <f>SUM(B40:T40)</f>
        <v>24</v>
      </c>
      <c r="V40" s="160"/>
      <c r="W40" s="155"/>
      <c r="X40" s="155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</row>
    <row r="41" spans="1:66" ht="12">
      <c r="A41" s="152" t="s">
        <v>107</v>
      </c>
      <c r="B41" s="157">
        <f aca="true" t="shared" si="18" ref="B41:U41">+B39+B40</f>
        <v>1</v>
      </c>
      <c r="C41" s="157">
        <f t="shared" si="18"/>
        <v>0</v>
      </c>
      <c r="D41" s="157">
        <f t="shared" si="18"/>
        <v>0</v>
      </c>
      <c r="E41" s="157">
        <f t="shared" si="18"/>
        <v>2</v>
      </c>
      <c r="F41" s="157">
        <f t="shared" si="18"/>
        <v>3</v>
      </c>
      <c r="G41" s="157">
        <f t="shared" si="18"/>
        <v>0</v>
      </c>
      <c r="H41" s="157">
        <f t="shared" si="18"/>
        <v>1</v>
      </c>
      <c r="I41" s="157">
        <f t="shared" si="18"/>
        <v>13</v>
      </c>
      <c r="J41" s="157">
        <f t="shared" si="18"/>
        <v>0</v>
      </c>
      <c r="K41" s="157">
        <f t="shared" si="18"/>
        <v>0</v>
      </c>
      <c r="L41" s="157">
        <f t="shared" si="18"/>
        <v>1</v>
      </c>
      <c r="M41" s="157">
        <f t="shared" si="18"/>
        <v>1</v>
      </c>
      <c r="N41" s="157">
        <f t="shared" si="18"/>
        <v>0</v>
      </c>
      <c r="O41" s="157">
        <f t="shared" si="18"/>
        <v>0</v>
      </c>
      <c r="P41" s="157">
        <f t="shared" si="18"/>
        <v>0</v>
      </c>
      <c r="Q41" s="157">
        <f t="shared" si="18"/>
        <v>0</v>
      </c>
      <c r="R41" s="157">
        <f t="shared" si="18"/>
        <v>1</v>
      </c>
      <c r="S41" s="157">
        <f t="shared" si="18"/>
        <v>1</v>
      </c>
      <c r="T41" s="157">
        <f t="shared" si="18"/>
        <v>0</v>
      </c>
      <c r="U41" s="157">
        <f t="shared" si="18"/>
        <v>24</v>
      </c>
      <c r="V41" s="158"/>
      <c r="W41" s="155"/>
      <c r="X41" s="155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</row>
    <row r="42" spans="1:66" s="166" customFormat="1" ht="12">
      <c r="A42" s="146" t="s">
        <v>109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48"/>
      <c r="S42" s="163"/>
      <c r="T42" s="163"/>
      <c r="U42" s="149"/>
      <c r="V42" s="164"/>
      <c r="W42" s="155"/>
      <c r="X42" s="15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</row>
    <row r="43" spans="1:66" ht="13.5" customHeight="1">
      <c r="A43" s="152" t="s">
        <v>105</v>
      </c>
      <c r="B43" s="147">
        <v>498</v>
      </c>
      <c r="C43" s="153">
        <v>64</v>
      </c>
      <c r="D43" s="153">
        <v>165</v>
      </c>
      <c r="E43" s="153">
        <v>130</v>
      </c>
      <c r="F43" s="148">
        <f>1542+483+461</f>
        <v>2486</v>
      </c>
      <c r="G43" s="154">
        <v>81</v>
      </c>
      <c r="H43" s="154">
        <v>387</v>
      </c>
      <c r="I43" s="148">
        <f>2398+765</f>
        <v>3163</v>
      </c>
      <c r="J43" s="154">
        <v>2547</v>
      </c>
      <c r="K43" s="154">
        <v>392</v>
      </c>
      <c r="L43" s="154">
        <v>778</v>
      </c>
      <c r="M43" s="154">
        <v>64</v>
      </c>
      <c r="N43" s="148">
        <v>186</v>
      </c>
      <c r="O43" s="148">
        <v>289</v>
      </c>
      <c r="P43" s="154">
        <v>1746</v>
      </c>
      <c r="Q43" s="154">
        <v>518</v>
      </c>
      <c r="R43" s="147">
        <f>1086+479</f>
        <v>1565</v>
      </c>
      <c r="S43" s="147">
        <v>215</v>
      </c>
      <c r="T43" s="154">
        <v>74</v>
      </c>
      <c r="U43" s="149">
        <f>SUM(B43:T43)</f>
        <v>15348</v>
      </c>
      <c r="V43" s="167"/>
      <c r="W43" s="168"/>
      <c r="X43" s="168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</row>
    <row r="44" spans="1:38" ht="12">
      <c r="A44" s="152" t="s">
        <v>115</v>
      </c>
      <c r="B44" s="147">
        <v>256</v>
      </c>
      <c r="C44" s="153">
        <v>4</v>
      </c>
      <c r="D44" s="153">
        <v>31</v>
      </c>
      <c r="E44" s="153">
        <v>131</v>
      </c>
      <c r="F44" s="148">
        <f>1038+208+404</f>
        <v>1650</v>
      </c>
      <c r="G44" s="154">
        <v>54</v>
      </c>
      <c r="H44" s="148">
        <v>540</v>
      </c>
      <c r="I44" s="148">
        <v>2160</v>
      </c>
      <c r="J44" s="148">
        <v>1331</v>
      </c>
      <c r="K44" s="154">
        <v>145</v>
      </c>
      <c r="L44" s="154">
        <v>169</v>
      </c>
      <c r="M44" s="154">
        <v>33</v>
      </c>
      <c r="N44" s="148">
        <v>58</v>
      </c>
      <c r="O44" s="154">
        <v>177</v>
      </c>
      <c r="P44" s="148">
        <v>1004</v>
      </c>
      <c r="Q44" s="154">
        <v>218</v>
      </c>
      <c r="R44" s="147">
        <f>140+618</f>
        <v>758</v>
      </c>
      <c r="S44" s="147">
        <v>84</v>
      </c>
      <c r="T44" s="154">
        <v>9</v>
      </c>
      <c r="U44" s="149">
        <f>SUM(B44:T44)</f>
        <v>8812</v>
      </c>
      <c r="V44" s="167"/>
      <c r="W44" s="168"/>
      <c r="X44" s="168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</row>
    <row r="45" spans="1:66" ht="12">
      <c r="A45" s="152" t="s">
        <v>107</v>
      </c>
      <c r="B45" s="157">
        <f aca="true" t="shared" si="19" ref="B45:U45">+B43+B44</f>
        <v>754</v>
      </c>
      <c r="C45" s="157">
        <f t="shared" si="19"/>
        <v>68</v>
      </c>
      <c r="D45" s="157">
        <f t="shared" si="19"/>
        <v>196</v>
      </c>
      <c r="E45" s="157">
        <f t="shared" si="19"/>
        <v>261</v>
      </c>
      <c r="F45" s="157">
        <f t="shared" si="19"/>
        <v>4136</v>
      </c>
      <c r="G45" s="157">
        <f t="shared" si="19"/>
        <v>135</v>
      </c>
      <c r="H45" s="157">
        <f t="shared" si="19"/>
        <v>927</v>
      </c>
      <c r="I45" s="157">
        <f t="shared" si="19"/>
        <v>5323</v>
      </c>
      <c r="J45" s="157">
        <f t="shared" si="19"/>
        <v>3878</v>
      </c>
      <c r="K45" s="157">
        <f t="shared" si="19"/>
        <v>537</v>
      </c>
      <c r="L45" s="157">
        <f t="shared" si="19"/>
        <v>947</v>
      </c>
      <c r="M45" s="157">
        <f t="shared" si="19"/>
        <v>97</v>
      </c>
      <c r="N45" s="157">
        <f t="shared" si="19"/>
        <v>244</v>
      </c>
      <c r="O45" s="157">
        <f t="shared" si="19"/>
        <v>466</v>
      </c>
      <c r="P45" s="157">
        <f t="shared" si="19"/>
        <v>2750</v>
      </c>
      <c r="Q45" s="157">
        <f t="shared" si="19"/>
        <v>736</v>
      </c>
      <c r="R45" s="157">
        <f t="shared" si="19"/>
        <v>2323</v>
      </c>
      <c r="S45" s="157">
        <f t="shared" si="19"/>
        <v>299</v>
      </c>
      <c r="T45" s="157">
        <f t="shared" si="19"/>
        <v>83</v>
      </c>
      <c r="U45" s="157">
        <f t="shared" si="19"/>
        <v>24160</v>
      </c>
      <c r="V45" s="158"/>
      <c r="W45" s="155"/>
      <c r="X45" s="155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</row>
    <row r="46" spans="1:38" ht="24">
      <c r="A46" s="146" t="s">
        <v>117</v>
      </c>
      <c r="B46" s="169"/>
      <c r="C46" s="170"/>
      <c r="D46" s="170"/>
      <c r="E46" s="170"/>
      <c r="F46" s="169"/>
      <c r="G46" s="169"/>
      <c r="H46" s="171"/>
      <c r="I46" s="169"/>
      <c r="J46" s="172"/>
      <c r="K46" s="170"/>
      <c r="L46" s="172"/>
      <c r="M46" s="172"/>
      <c r="N46" s="170"/>
      <c r="O46" s="169"/>
      <c r="P46" s="172"/>
      <c r="Q46" s="170"/>
      <c r="R46" s="169"/>
      <c r="S46" s="169"/>
      <c r="T46" s="169"/>
      <c r="U46" s="149"/>
      <c r="V46" s="171"/>
      <c r="W46" s="171"/>
      <c r="X46" s="171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</row>
    <row r="47" spans="1:38" ht="12">
      <c r="A47" s="152" t="s">
        <v>105</v>
      </c>
      <c r="B47" s="147">
        <v>92</v>
      </c>
      <c r="C47" s="153"/>
      <c r="D47" s="153">
        <v>63</v>
      </c>
      <c r="E47" s="153">
        <v>44</v>
      </c>
      <c r="F47" s="148">
        <f>328+151+74</f>
        <v>553</v>
      </c>
      <c r="G47" s="154">
        <v>9</v>
      </c>
      <c r="H47" s="148">
        <f>209+1714</f>
        <v>1923</v>
      </c>
      <c r="I47" s="148">
        <f>1131+251</f>
        <v>1382</v>
      </c>
      <c r="J47" s="154">
        <v>755</v>
      </c>
      <c r="K47" s="154">
        <v>40</v>
      </c>
      <c r="L47" s="154">
        <v>7</v>
      </c>
      <c r="M47" s="154">
        <v>43</v>
      </c>
      <c r="N47" s="148">
        <v>96</v>
      </c>
      <c r="O47" s="148">
        <v>41</v>
      </c>
      <c r="P47" s="154">
        <v>527</v>
      </c>
      <c r="Q47" s="154">
        <v>40</v>
      </c>
      <c r="R47" s="147">
        <f>141+265</f>
        <v>406</v>
      </c>
      <c r="S47" s="147">
        <v>77</v>
      </c>
      <c r="T47" s="154">
        <v>24</v>
      </c>
      <c r="U47" s="149">
        <f>SUM(B47:T47)</f>
        <v>6122</v>
      </c>
      <c r="V47" s="150"/>
      <c r="W47" s="150"/>
      <c r="X47" s="150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</row>
    <row r="48" spans="1:38" ht="12">
      <c r="A48" s="152" t="s">
        <v>115</v>
      </c>
      <c r="B48" s="147">
        <v>22</v>
      </c>
      <c r="C48" s="153"/>
      <c r="D48" s="153">
        <v>2</v>
      </c>
      <c r="E48" s="153">
        <v>15</v>
      </c>
      <c r="F48" s="148">
        <f>35+17+152</f>
        <v>204</v>
      </c>
      <c r="G48" s="154"/>
      <c r="H48" s="148">
        <f>120+8</f>
        <v>128</v>
      </c>
      <c r="I48" s="148">
        <v>588</v>
      </c>
      <c r="J48" s="148">
        <v>261</v>
      </c>
      <c r="K48" s="154">
        <v>12</v>
      </c>
      <c r="L48" s="154">
        <v>0</v>
      </c>
      <c r="M48" s="154">
        <v>10</v>
      </c>
      <c r="N48" s="148">
        <v>18</v>
      </c>
      <c r="O48" s="154">
        <v>15</v>
      </c>
      <c r="P48" s="148">
        <v>145</v>
      </c>
      <c r="Q48" s="154">
        <v>10</v>
      </c>
      <c r="R48" s="147">
        <f>68+53</f>
        <v>121</v>
      </c>
      <c r="S48" s="147">
        <v>16</v>
      </c>
      <c r="T48" s="154">
        <v>2</v>
      </c>
      <c r="U48" s="149">
        <f>SUM(B48:T48)</f>
        <v>1569</v>
      </c>
      <c r="V48" s="164"/>
      <c r="W48" s="160"/>
      <c r="X48" s="160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</row>
    <row r="49" spans="1:66" ht="12">
      <c r="A49" s="152" t="s">
        <v>107</v>
      </c>
      <c r="B49" s="157">
        <f aca="true" t="shared" si="20" ref="B49:U49">+B47+B48</f>
        <v>114</v>
      </c>
      <c r="C49" s="157">
        <f t="shared" si="20"/>
        <v>0</v>
      </c>
      <c r="D49" s="157">
        <f t="shared" si="20"/>
        <v>65</v>
      </c>
      <c r="E49" s="157">
        <f t="shared" si="20"/>
        <v>59</v>
      </c>
      <c r="F49" s="157">
        <f t="shared" si="20"/>
        <v>757</v>
      </c>
      <c r="G49" s="157">
        <f t="shared" si="20"/>
        <v>9</v>
      </c>
      <c r="H49" s="157">
        <f t="shared" si="20"/>
        <v>2051</v>
      </c>
      <c r="I49" s="157">
        <f t="shared" si="20"/>
        <v>1970</v>
      </c>
      <c r="J49" s="157">
        <f t="shared" si="20"/>
        <v>1016</v>
      </c>
      <c r="K49" s="157">
        <f t="shared" si="20"/>
        <v>52</v>
      </c>
      <c r="L49" s="157">
        <f t="shared" si="20"/>
        <v>7</v>
      </c>
      <c r="M49" s="157">
        <f t="shared" si="20"/>
        <v>53</v>
      </c>
      <c r="N49" s="157">
        <f t="shared" si="20"/>
        <v>114</v>
      </c>
      <c r="O49" s="157">
        <f t="shared" si="20"/>
        <v>56</v>
      </c>
      <c r="P49" s="157">
        <f t="shared" si="20"/>
        <v>672</v>
      </c>
      <c r="Q49" s="157">
        <f t="shared" si="20"/>
        <v>50</v>
      </c>
      <c r="R49" s="157">
        <f t="shared" si="20"/>
        <v>527</v>
      </c>
      <c r="S49" s="157">
        <f t="shared" si="20"/>
        <v>93</v>
      </c>
      <c r="T49" s="157">
        <f t="shared" si="20"/>
        <v>26</v>
      </c>
      <c r="U49" s="157">
        <f t="shared" si="20"/>
        <v>7691</v>
      </c>
      <c r="V49" s="158"/>
      <c r="W49" s="155"/>
      <c r="X49" s="155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</row>
    <row r="50" spans="1:38" ht="12">
      <c r="A50" s="146" t="s">
        <v>111</v>
      </c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49"/>
      <c r="V50" s="163"/>
      <c r="W50" s="173"/>
      <c r="X50" s="173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</row>
    <row r="51" spans="1:38" ht="12">
      <c r="A51" s="152" t="s">
        <v>105</v>
      </c>
      <c r="B51" s="147"/>
      <c r="C51" s="153">
        <v>219</v>
      </c>
      <c r="D51" s="153"/>
      <c r="E51" s="153"/>
      <c r="F51" s="148"/>
      <c r="G51" s="154">
        <v>567</v>
      </c>
      <c r="H51" s="154"/>
      <c r="I51" s="148">
        <v>362</v>
      </c>
      <c r="J51" s="154"/>
      <c r="K51" s="154"/>
      <c r="L51" s="154">
        <v>926</v>
      </c>
      <c r="M51" s="154">
        <v>234</v>
      </c>
      <c r="N51" s="148"/>
      <c r="O51" s="148"/>
      <c r="P51" s="154"/>
      <c r="Q51" s="154"/>
      <c r="R51" s="147"/>
      <c r="S51" s="147"/>
      <c r="T51" s="154"/>
      <c r="U51" s="149">
        <f>SUM(B51:T51)</f>
        <v>2308</v>
      </c>
      <c r="V51" s="177"/>
      <c r="W51" s="159"/>
      <c r="X51" s="159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</row>
    <row r="52" spans="1:38" ht="12">
      <c r="A52" s="152" t="s">
        <v>115</v>
      </c>
      <c r="B52" s="147"/>
      <c r="C52" s="153">
        <v>83</v>
      </c>
      <c r="D52" s="153"/>
      <c r="E52" s="153"/>
      <c r="F52" s="148"/>
      <c r="G52" s="154">
        <v>109</v>
      </c>
      <c r="H52" s="148"/>
      <c r="I52" s="148">
        <v>239</v>
      </c>
      <c r="J52" s="148"/>
      <c r="K52" s="154"/>
      <c r="L52" s="154">
        <v>273</v>
      </c>
      <c r="M52" s="154">
        <v>106</v>
      </c>
      <c r="N52" s="148"/>
      <c r="O52" s="154"/>
      <c r="P52" s="148"/>
      <c r="Q52" s="154"/>
      <c r="R52" s="147"/>
      <c r="S52" s="147"/>
      <c r="T52" s="154"/>
      <c r="U52" s="149">
        <f>SUM(B52:T52)</f>
        <v>810</v>
      </c>
      <c r="V52" s="150"/>
      <c r="W52" s="155"/>
      <c r="X52" s="155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</row>
    <row r="53" spans="1:66" ht="12">
      <c r="A53" s="152" t="s">
        <v>107</v>
      </c>
      <c r="B53" s="157">
        <f aca="true" t="shared" si="21" ref="B53:U53">+B51+B52</f>
        <v>0</v>
      </c>
      <c r="C53" s="157">
        <f t="shared" si="21"/>
        <v>302</v>
      </c>
      <c r="D53" s="157">
        <f t="shared" si="21"/>
        <v>0</v>
      </c>
      <c r="E53" s="157">
        <f t="shared" si="21"/>
        <v>0</v>
      </c>
      <c r="F53" s="157">
        <f t="shared" si="21"/>
        <v>0</v>
      </c>
      <c r="G53" s="157">
        <f t="shared" si="21"/>
        <v>676</v>
      </c>
      <c r="H53" s="157">
        <f t="shared" si="21"/>
        <v>0</v>
      </c>
      <c r="I53" s="157">
        <f t="shared" si="21"/>
        <v>601</v>
      </c>
      <c r="J53" s="157">
        <f t="shared" si="21"/>
        <v>0</v>
      </c>
      <c r="K53" s="157">
        <f t="shared" si="21"/>
        <v>0</v>
      </c>
      <c r="L53" s="157">
        <f t="shared" si="21"/>
        <v>1199</v>
      </c>
      <c r="M53" s="157">
        <f t="shared" si="21"/>
        <v>340</v>
      </c>
      <c r="N53" s="157">
        <f t="shared" si="21"/>
        <v>0</v>
      </c>
      <c r="O53" s="157">
        <f t="shared" si="21"/>
        <v>0</v>
      </c>
      <c r="P53" s="157">
        <f t="shared" si="21"/>
        <v>0</v>
      </c>
      <c r="Q53" s="157">
        <f t="shared" si="21"/>
        <v>0</v>
      </c>
      <c r="R53" s="157">
        <f t="shared" si="21"/>
        <v>0</v>
      </c>
      <c r="S53" s="157">
        <f t="shared" si="21"/>
        <v>0</v>
      </c>
      <c r="T53" s="157">
        <f t="shared" si="21"/>
        <v>0</v>
      </c>
      <c r="U53" s="157">
        <f t="shared" si="21"/>
        <v>3118</v>
      </c>
      <c r="V53" s="158"/>
      <c r="W53" s="155"/>
      <c r="X53" s="155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</row>
    <row r="54" spans="1:38" ht="12">
      <c r="A54" s="146" t="s">
        <v>112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9"/>
      <c r="V54" s="150"/>
      <c r="W54" s="155"/>
      <c r="X54" s="155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</row>
    <row r="55" spans="1:24" ht="12">
      <c r="A55" s="152" t="s">
        <v>105</v>
      </c>
      <c r="B55" s="180">
        <f>+B51+B47+B43+B39+B35</f>
        <v>590</v>
      </c>
      <c r="C55" s="180">
        <f aca="true" t="shared" si="22" ref="C55:U55">+C51+C47+C43+C39+C35</f>
        <v>283</v>
      </c>
      <c r="D55" s="180">
        <f t="shared" si="22"/>
        <v>228</v>
      </c>
      <c r="E55" s="180">
        <f t="shared" si="22"/>
        <v>174</v>
      </c>
      <c r="F55" s="180">
        <f t="shared" si="22"/>
        <v>3039</v>
      </c>
      <c r="G55" s="180">
        <f t="shared" si="22"/>
        <v>657</v>
      </c>
      <c r="H55" s="180">
        <f t="shared" si="22"/>
        <v>2310</v>
      </c>
      <c r="I55" s="180">
        <f t="shared" si="22"/>
        <v>4907</v>
      </c>
      <c r="J55" s="180">
        <f t="shared" si="22"/>
        <v>3302</v>
      </c>
      <c r="K55" s="180">
        <f t="shared" si="22"/>
        <v>432</v>
      </c>
      <c r="L55" s="180">
        <f t="shared" si="22"/>
        <v>1712</v>
      </c>
      <c r="M55" s="180">
        <f t="shared" si="22"/>
        <v>341</v>
      </c>
      <c r="N55" s="180">
        <f t="shared" si="22"/>
        <v>282</v>
      </c>
      <c r="O55" s="180">
        <f t="shared" si="22"/>
        <v>397</v>
      </c>
      <c r="P55" s="180">
        <f t="shared" si="22"/>
        <v>2273</v>
      </c>
      <c r="Q55" s="180">
        <f t="shared" si="22"/>
        <v>559</v>
      </c>
      <c r="R55" s="180">
        <f t="shared" si="22"/>
        <v>1971</v>
      </c>
      <c r="S55" s="180">
        <f t="shared" si="22"/>
        <v>292</v>
      </c>
      <c r="T55" s="180">
        <f t="shared" si="22"/>
        <v>98</v>
      </c>
      <c r="U55" s="180">
        <f t="shared" si="22"/>
        <v>23847</v>
      </c>
      <c r="V55" s="181"/>
      <c r="W55" s="182"/>
      <c r="X55" s="182"/>
    </row>
    <row r="56" spans="1:24" ht="12">
      <c r="A56" s="152" t="s">
        <v>115</v>
      </c>
      <c r="B56" s="180">
        <f>+B52+B48+B44+B40+B36</f>
        <v>367</v>
      </c>
      <c r="C56" s="180">
        <f aca="true" t="shared" si="23" ref="C56:U56">+C52+C48+C44+C40+C36</f>
        <v>87</v>
      </c>
      <c r="D56" s="180">
        <f t="shared" si="23"/>
        <v>51</v>
      </c>
      <c r="E56" s="180">
        <f t="shared" si="23"/>
        <v>211</v>
      </c>
      <c r="F56" s="180">
        <f t="shared" si="23"/>
        <v>2126</v>
      </c>
      <c r="G56" s="180">
        <f t="shared" si="23"/>
        <v>257</v>
      </c>
      <c r="H56" s="180">
        <f t="shared" si="23"/>
        <v>1462</v>
      </c>
      <c r="I56" s="180">
        <f t="shared" si="23"/>
        <v>3850</v>
      </c>
      <c r="J56" s="180">
        <f t="shared" si="23"/>
        <v>2408</v>
      </c>
      <c r="K56" s="180">
        <f t="shared" si="23"/>
        <v>203</v>
      </c>
      <c r="L56" s="180">
        <f t="shared" si="23"/>
        <v>555</v>
      </c>
      <c r="M56" s="180">
        <f t="shared" si="23"/>
        <v>177</v>
      </c>
      <c r="N56" s="180">
        <f t="shared" si="23"/>
        <v>118</v>
      </c>
      <c r="O56" s="180">
        <f t="shared" si="23"/>
        <v>248</v>
      </c>
      <c r="P56" s="180">
        <f t="shared" si="23"/>
        <v>1412</v>
      </c>
      <c r="Q56" s="180">
        <f t="shared" si="23"/>
        <v>300</v>
      </c>
      <c r="R56" s="180">
        <f t="shared" si="23"/>
        <v>1264</v>
      </c>
      <c r="S56" s="180">
        <f t="shared" si="23"/>
        <v>124</v>
      </c>
      <c r="T56" s="180">
        <f t="shared" si="23"/>
        <v>13</v>
      </c>
      <c r="U56" s="180">
        <f t="shared" si="23"/>
        <v>15233</v>
      </c>
      <c r="V56" s="181"/>
      <c r="W56" s="182"/>
      <c r="X56" s="182"/>
    </row>
    <row r="57" spans="1:80" ht="12">
      <c r="A57" s="152" t="s">
        <v>107</v>
      </c>
      <c r="B57" s="157">
        <f aca="true" t="shared" si="24" ref="B57:U57">+B55+B56</f>
        <v>957</v>
      </c>
      <c r="C57" s="157">
        <f t="shared" si="24"/>
        <v>370</v>
      </c>
      <c r="D57" s="157">
        <f t="shared" si="24"/>
        <v>279</v>
      </c>
      <c r="E57" s="157">
        <f t="shared" si="24"/>
        <v>385</v>
      </c>
      <c r="F57" s="157">
        <f t="shared" si="24"/>
        <v>5165</v>
      </c>
      <c r="G57" s="157">
        <f t="shared" si="24"/>
        <v>914</v>
      </c>
      <c r="H57" s="157">
        <f t="shared" si="24"/>
        <v>3772</v>
      </c>
      <c r="I57" s="157">
        <f t="shared" si="24"/>
        <v>8757</v>
      </c>
      <c r="J57" s="157">
        <f t="shared" si="24"/>
        <v>5710</v>
      </c>
      <c r="K57" s="157">
        <f t="shared" si="24"/>
        <v>635</v>
      </c>
      <c r="L57" s="157">
        <f t="shared" si="24"/>
        <v>2267</v>
      </c>
      <c r="M57" s="157">
        <f t="shared" si="24"/>
        <v>518</v>
      </c>
      <c r="N57" s="157">
        <f t="shared" si="24"/>
        <v>400</v>
      </c>
      <c r="O57" s="157">
        <f t="shared" si="24"/>
        <v>645</v>
      </c>
      <c r="P57" s="157">
        <f t="shared" si="24"/>
        <v>3685</v>
      </c>
      <c r="Q57" s="157">
        <f t="shared" si="24"/>
        <v>859</v>
      </c>
      <c r="R57" s="157">
        <f t="shared" si="24"/>
        <v>3235</v>
      </c>
      <c r="S57" s="157">
        <f t="shared" si="24"/>
        <v>416</v>
      </c>
      <c r="T57" s="157">
        <f t="shared" si="24"/>
        <v>111</v>
      </c>
      <c r="U57" s="157">
        <f t="shared" si="24"/>
        <v>39080</v>
      </c>
      <c r="V57" s="158"/>
      <c r="W57" s="155"/>
      <c r="X57" s="155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</row>
    <row r="58" spans="2:22" s="136" customFormat="1" ht="12">
      <c r="B58" s="144"/>
      <c r="C58" s="144"/>
      <c r="E58" s="144"/>
      <c r="F58" s="144"/>
      <c r="G58" s="144"/>
      <c r="H58" s="144"/>
      <c r="I58" s="144"/>
      <c r="J58" s="144"/>
      <c r="K58" s="144" t="s">
        <v>65</v>
      </c>
      <c r="L58" s="144"/>
      <c r="M58" s="144"/>
      <c r="N58" s="144"/>
      <c r="O58" s="144"/>
      <c r="P58" s="207"/>
      <c r="Q58" s="144"/>
      <c r="R58" s="144"/>
      <c r="S58" s="144"/>
      <c r="T58" s="144"/>
      <c r="U58" s="144"/>
      <c r="V58" s="135"/>
    </row>
    <row r="59" spans="1:66" s="121" customFormat="1" ht="12">
      <c r="A59" s="146" t="s">
        <v>104</v>
      </c>
      <c r="B59" s="147"/>
      <c r="C59" s="147"/>
      <c r="D59" s="148"/>
      <c r="E59" s="148"/>
      <c r="F59" s="148"/>
      <c r="G59" s="148"/>
      <c r="H59" s="147"/>
      <c r="I59" s="148"/>
      <c r="J59" s="148"/>
      <c r="K59" s="147"/>
      <c r="L59" s="148"/>
      <c r="M59" s="148"/>
      <c r="N59" s="148"/>
      <c r="O59" s="148"/>
      <c r="P59" s="148"/>
      <c r="Q59" s="148"/>
      <c r="R59" s="147"/>
      <c r="S59" s="147"/>
      <c r="T59" s="147"/>
      <c r="U59" s="149"/>
      <c r="V59" s="150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</row>
    <row r="60" spans="1:66" ht="12">
      <c r="A60" s="152" t="s">
        <v>105</v>
      </c>
      <c r="B60" s="147"/>
      <c r="C60" s="153"/>
      <c r="D60" s="153"/>
      <c r="E60" s="153">
        <v>1</v>
      </c>
      <c r="F60" s="148"/>
      <c r="G60" s="154">
        <v>1</v>
      </c>
      <c r="H60" s="154"/>
      <c r="I60" s="148"/>
      <c r="J60" s="154">
        <v>1</v>
      </c>
      <c r="K60" s="154"/>
      <c r="L60" s="154">
        <v>1</v>
      </c>
      <c r="M60" s="154"/>
      <c r="N60" s="148"/>
      <c r="O60" s="148">
        <v>781</v>
      </c>
      <c r="P60" s="154"/>
      <c r="Q60" s="154"/>
      <c r="R60" s="147"/>
      <c r="S60" s="147"/>
      <c r="T60" s="154"/>
      <c r="U60" s="149">
        <f>SUM(B60:T60)</f>
        <v>785</v>
      </c>
      <c r="V60" s="150"/>
      <c r="W60" s="155"/>
      <c r="X60" s="155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</row>
    <row r="61" spans="1:66" ht="12">
      <c r="A61" s="152" t="s">
        <v>115</v>
      </c>
      <c r="B61" s="147">
        <v>37</v>
      </c>
      <c r="C61" s="153"/>
      <c r="D61" s="153">
        <v>4</v>
      </c>
      <c r="E61" s="153">
        <v>197</v>
      </c>
      <c r="F61" s="148">
        <f>136+42+53</f>
        <v>231</v>
      </c>
      <c r="G61" s="154">
        <v>214</v>
      </c>
      <c r="H61" s="148">
        <v>1042</v>
      </c>
      <c r="I61" s="148">
        <f>178+3</f>
        <v>181</v>
      </c>
      <c r="J61" s="148">
        <v>1115</v>
      </c>
      <c r="K61" s="154">
        <v>271</v>
      </c>
      <c r="L61" s="154">
        <v>80</v>
      </c>
      <c r="M61" s="154">
        <v>57</v>
      </c>
      <c r="N61" s="148">
        <v>126</v>
      </c>
      <c r="O61" s="154">
        <v>718</v>
      </c>
      <c r="P61" s="148">
        <v>208</v>
      </c>
      <c r="Q61" s="154">
        <v>67</v>
      </c>
      <c r="R61" s="147">
        <f>254+162</f>
        <v>416</v>
      </c>
      <c r="S61" s="147">
        <v>17</v>
      </c>
      <c r="T61" s="154">
        <v>16</v>
      </c>
      <c r="U61" s="149">
        <f>SUM(B61:T61)</f>
        <v>4997</v>
      </c>
      <c r="V61" s="150"/>
      <c r="W61" s="155"/>
      <c r="X61" s="155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</row>
    <row r="62" spans="1:66" ht="12">
      <c r="A62" s="152" t="s">
        <v>107</v>
      </c>
      <c r="B62" s="157">
        <f aca="true" t="shared" si="25" ref="B62:U62">+B60+B61</f>
        <v>37</v>
      </c>
      <c r="C62" s="157">
        <f t="shared" si="25"/>
        <v>0</v>
      </c>
      <c r="D62" s="157">
        <f t="shared" si="25"/>
        <v>4</v>
      </c>
      <c r="E62" s="157">
        <f t="shared" si="25"/>
        <v>198</v>
      </c>
      <c r="F62" s="157">
        <f t="shared" si="25"/>
        <v>231</v>
      </c>
      <c r="G62" s="157">
        <f t="shared" si="25"/>
        <v>215</v>
      </c>
      <c r="H62" s="157">
        <f t="shared" si="25"/>
        <v>1042</v>
      </c>
      <c r="I62" s="157">
        <f t="shared" si="25"/>
        <v>181</v>
      </c>
      <c r="J62" s="157">
        <f t="shared" si="25"/>
        <v>1116</v>
      </c>
      <c r="K62" s="157">
        <f t="shared" si="25"/>
        <v>271</v>
      </c>
      <c r="L62" s="157">
        <f t="shared" si="25"/>
        <v>81</v>
      </c>
      <c r="M62" s="157">
        <f t="shared" si="25"/>
        <v>57</v>
      </c>
      <c r="N62" s="157">
        <f t="shared" si="25"/>
        <v>126</v>
      </c>
      <c r="O62" s="157">
        <f t="shared" si="25"/>
        <v>1499</v>
      </c>
      <c r="P62" s="157">
        <f t="shared" si="25"/>
        <v>208</v>
      </c>
      <c r="Q62" s="157">
        <f t="shared" si="25"/>
        <v>67</v>
      </c>
      <c r="R62" s="157">
        <f t="shared" si="25"/>
        <v>416</v>
      </c>
      <c r="S62" s="157">
        <f t="shared" si="25"/>
        <v>17</v>
      </c>
      <c r="T62" s="157">
        <f t="shared" si="25"/>
        <v>16</v>
      </c>
      <c r="U62" s="157">
        <f t="shared" si="25"/>
        <v>5782</v>
      </c>
      <c r="V62" s="158"/>
      <c r="W62" s="155"/>
      <c r="X62" s="155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</row>
    <row r="63" spans="1:66" ht="12">
      <c r="A63" s="146" t="s">
        <v>108</v>
      </c>
      <c r="B63" s="147"/>
      <c r="C63" s="148"/>
      <c r="D63" s="148"/>
      <c r="E63" s="148"/>
      <c r="F63" s="148"/>
      <c r="G63" s="148"/>
      <c r="H63" s="147"/>
      <c r="I63" s="148"/>
      <c r="J63" s="148"/>
      <c r="K63" s="147"/>
      <c r="L63" s="148"/>
      <c r="M63" s="148"/>
      <c r="N63" s="148"/>
      <c r="O63" s="148"/>
      <c r="P63" s="148"/>
      <c r="Q63" s="148"/>
      <c r="R63" s="147"/>
      <c r="S63" s="147"/>
      <c r="T63" s="147"/>
      <c r="U63" s="149"/>
      <c r="V63" s="158"/>
      <c r="W63" s="155"/>
      <c r="X63" s="155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</row>
    <row r="64" spans="1:66" ht="12">
      <c r="A64" s="152" t="s">
        <v>105</v>
      </c>
      <c r="B64" s="147"/>
      <c r="C64" s="153"/>
      <c r="D64" s="153"/>
      <c r="E64" s="153"/>
      <c r="F64" s="148"/>
      <c r="G64" s="154"/>
      <c r="H64" s="154"/>
      <c r="I64" s="148"/>
      <c r="J64" s="154"/>
      <c r="K64" s="154"/>
      <c r="L64" s="154"/>
      <c r="M64" s="154"/>
      <c r="N64" s="148"/>
      <c r="O64" s="148"/>
      <c r="P64" s="154"/>
      <c r="Q64" s="154"/>
      <c r="R64" s="147"/>
      <c r="S64" s="147"/>
      <c r="T64" s="154"/>
      <c r="U64" s="149">
        <f>SUM(B64:T64)</f>
        <v>0</v>
      </c>
      <c r="V64" s="158"/>
      <c r="W64" s="155"/>
      <c r="X64" s="155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</row>
    <row r="65" spans="1:66" s="162" customFormat="1" ht="12">
      <c r="A65" s="152" t="s">
        <v>115</v>
      </c>
      <c r="B65" s="147"/>
      <c r="C65" s="153"/>
      <c r="D65" s="153"/>
      <c r="E65" s="153">
        <v>9</v>
      </c>
      <c r="F65" s="148">
        <v>3</v>
      </c>
      <c r="G65" s="154">
        <v>1</v>
      </c>
      <c r="H65" s="148">
        <v>1</v>
      </c>
      <c r="I65" s="148">
        <v>3</v>
      </c>
      <c r="J65" s="148"/>
      <c r="K65" s="154"/>
      <c r="L65" s="154">
        <v>1</v>
      </c>
      <c r="M65" s="154">
        <v>0</v>
      </c>
      <c r="N65" s="148"/>
      <c r="O65" s="154">
        <v>1</v>
      </c>
      <c r="P65" s="148"/>
      <c r="Q65" s="154"/>
      <c r="R65" s="147"/>
      <c r="S65" s="147">
        <v>3</v>
      </c>
      <c r="T65" s="154"/>
      <c r="U65" s="149">
        <f>SUM(B65:T65)</f>
        <v>22</v>
      </c>
      <c r="V65" s="160"/>
      <c r="W65" s="155"/>
      <c r="X65" s="155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</row>
    <row r="66" spans="1:66" ht="12">
      <c r="A66" s="152" t="s">
        <v>107</v>
      </c>
      <c r="B66" s="157">
        <f aca="true" t="shared" si="26" ref="B66:U66">+B64+B65</f>
        <v>0</v>
      </c>
      <c r="C66" s="157">
        <f t="shared" si="26"/>
        <v>0</v>
      </c>
      <c r="D66" s="157">
        <f t="shared" si="26"/>
        <v>0</v>
      </c>
      <c r="E66" s="157">
        <f t="shared" si="26"/>
        <v>9</v>
      </c>
      <c r="F66" s="157">
        <f t="shared" si="26"/>
        <v>3</v>
      </c>
      <c r="G66" s="157">
        <f t="shared" si="26"/>
        <v>1</v>
      </c>
      <c r="H66" s="157">
        <f t="shared" si="26"/>
        <v>1</v>
      </c>
      <c r="I66" s="157">
        <f t="shared" si="26"/>
        <v>3</v>
      </c>
      <c r="J66" s="157">
        <f t="shared" si="26"/>
        <v>0</v>
      </c>
      <c r="K66" s="157">
        <f t="shared" si="26"/>
        <v>0</v>
      </c>
      <c r="L66" s="157">
        <f t="shared" si="26"/>
        <v>1</v>
      </c>
      <c r="M66" s="157">
        <f t="shared" si="26"/>
        <v>0</v>
      </c>
      <c r="N66" s="157">
        <f t="shared" si="26"/>
        <v>0</v>
      </c>
      <c r="O66" s="157">
        <f t="shared" si="26"/>
        <v>1</v>
      </c>
      <c r="P66" s="157">
        <f t="shared" si="26"/>
        <v>0</v>
      </c>
      <c r="Q66" s="157">
        <f t="shared" si="26"/>
        <v>0</v>
      </c>
      <c r="R66" s="157">
        <f t="shared" si="26"/>
        <v>0</v>
      </c>
      <c r="S66" s="157">
        <f t="shared" si="26"/>
        <v>3</v>
      </c>
      <c r="T66" s="157">
        <f t="shared" si="26"/>
        <v>0</v>
      </c>
      <c r="U66" s="157">
        <f t="shared" si="26"/>
        <v>22</v>
      </c>
      <c r="V66" s="158"/>
      <c r="W66" s="155"/>
      <c r="X66" s="155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</row>
    <row r="67" spans="1:66" s="166" customFormat="1" ht="12">
      <c r="A67" s="146" t="s">
        <v>109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48"/>
      <c r="S67" s="163"/>
      <c r="T67" s="163"/>
      <c r="U67" s="149"/>
      <c r="V67" s="164"/>
      <c r="W67" s="155"/>
      <c r="X67" s="15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5"/>
    </row>
    <row r="68" spans="1:66" ht="13.5" customHeight="1">
      <c r="A68" s="152" t="s">
        <v>105</v>
      </c>
      <c r="B68" s="147">
        <v>275</v>
      </c>
      <c r="C68" s="153">
        <v>46</v>
      </c>
      <c r="D68" s="153">
        <v>92</v>
      </c>
      <c r="E68" s="153">
        <v>302</v>
      </c>
      <c r="F68" s="148">
        <f>1285+639+603</f>
        <v>2527</v>
      </c>
      <c r="G68" s="154">
        <v>174</v>
      </c>
      <c r="H68" s="154">
        <v>557</v>
      </c>
      <c r="I68" s="148">
        <f>880+161</f>
        <v>1041</v>
      </c>
      <c r="J68" s="154">
        <v>4095</v>
      </c>
      <c r="K68" s="154">
        <v>1401</v>
      </c>
      <c r="L68" s="154">
        <v>1572</v>
      </c>
      <c r="M68" s="154">
        <v>57</v>
      </c>
      <c r="N68" s="148">
        <v>618</v>
      </c>
      <c r="O68" s="148">
        <v>2046</v>
      </c>
      <c r="P68" s="154">
        <v>1283</v>
      </c>
      <c r="Q68" s="154">
        <v>257</v>
      </c>
      <c r="R68" s="147">
        <f>1535+816</f>
        <v>2351</v>
      </c>
      <c r="S68" s="147">
        <v>149</v>
      </c>
      <c r="T68" s="154">
        <v>416</v>
      </c>
      <c r="U68" s="149">
        <f>SUM(B68:T68)</f>
        <v>19259</v>
      </c>
      <c r="V68" s="167"/>
      <c r="W68" s="168"/>
      <c r="X68" s="168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</row>
    <row r="69" spans="1:38" ht="12">
      <c r="A69" s="152" t="s">
        <v>115</v>
      </c>
      <c r="B69" s="147">
        <v>133</v>
      </c>
      <c r="C69" s="153">
        <v>4</v>
      </c>
      <c r="D69" s="153">
        <v>12</v>
      </c>
      <c r="E69" s="153">
        <v>263</v>
      </c>
      <c r="F69" s="148">
        <f>677+214+394</f>
        <v>1285</v>
      </c>
      <c r="G69" s="154">
        <v>70</v>
      </c>
      <c r="H69" s="148">
        <v>660</v>
      </c>
      <c r="I69" s="148">
        <f>349+66</f>
        <v>415</v>
      </c>
      <c r="J69" s="148">
        <v>1952</v>
      </c>
      <c r="K69" s="154">
        <v>649</v>
      </c>
      <c r="L69" s="154">
        <v>246</v>
      </c>
      <c r="M69" s="154">
        <v>11</v>
      </c>
      <c r="N69" s="148">
        <v>166</v>
      </c>
      <c r="O69" s="154">
        <v>952</v>
      </c>
      <c r="P69" s="148">
        <v>582</v>
      </c>
      <c r="Q69" s="154">
        <v>128</v>
      </c>
      <c r="R69" s="147">
        <f>246+793</f>
        <v>1039</v>
      </c>
      <c r="S69" s="147">
        <v>35</v>
      </c>
      <c r="T69" s="154">
        <v>54</v>
      </c>
      <c r="U69" s="149">
        <f>SUM(B69:T69)</f>
        <v>8656</v>
      </c>
      <c r="V69" s="167"/>
      <c r="W69" s="168"/>
      <c r="X69" s="168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</row>
    <row r="70" spans="1:66" ht="12">
      <c r="A70" s="152" t="s">
        <v>107</v>
      </c>
      <c r="B70" s="157">
        <f aca="true" t="shared" si="27" ref="B70:U70">+B68+B69</f>
        <v>408</v>
      </c>
      <c r="C70" s="157">
        <f t="shared" si="27"/>
        <v>50</v>
      </c>
      <c r="D70" s="157">
        <f t="shared" si="27"/>
        <v>104</v>
      </c>
      <c r="E70" s="157">
        <f t="shared" si="27"/>
        <v>565</v>
      </c>
      <c r="F70" s="157">
        <f t="shared" si="27"/>
        <v>3812</v>
      </c>
      <c r="G70" s="157">
        <f t="shared" si="27"/>
        <v>244</v>
      </c>
      <c r="H70" s="157">
        <f t="shared" si="27"/>
        <v>1217</v>
      </c>
      <c r="I70" s="157">
        <f t="shared" si="27"/>
        <v>1456</v>
      </c>
      <c r="J70" s="157">
        <f t="shared" si="27"/>
        <v>6047</v>
      </c>
      <c r="K70" s="157">
        <f t="shared" si="27"/>
        <v>2050</v>
      </c>
      <c r="L70" s="157">
        <f t="shared" si="27"/>
        <v>1818</v>
      </c>
      <c r="M70" s="157">
        <f t="shared" si="27"/>
        <v>68</v>
      </c>
      <c r="N70" s="157">
        <f t="shared" si="27"/>
        <v>784</v>
      </c>
      <c r="O70" s="157">
        <f t="shared" si="27"/>
        <v>2998</v>
      </c>
      <c r="P70" s="157">
        <f t="shared" si="27"/>
        <v>1865</v>
      </c>
      <c r="Q70" s="157">
        <f t="shared" si="27"/>
        <v>385</v>
      </c>
      <c r="R70" s="157">
        <f t="shared" si="27"/>
        <v>3390</v>
      </c>
      <c r="S70" s="157">
        <f t="shared" si="27"/>
        <v>184</v>
      </c>
      <c r="T70" s="157">
        <f t="shared" si="27"/>
        <v>470</v>
      </c>
      <c r="U70" s="157">
        <f t="shared" si="27"/>
        <v>27915</v>
      </c>
      <c r="V70" s="158"/>
      <c r="W70" s="155"/>
      <c r="X70" s="155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</row>
    <row r="71" spans="1:38" ht="24">
      <c r="A71" s="146" t="s">
        <v>117</v>
      </c>
      <c r="B71" s="169"/>
      <c r="C71" s="170"/>
      <c r="D71" s="170"/>
      <c r="E71" s="170"/>
      <c r="F71" s="169"/>
      <c r="G71" s="169"/>
      <c r="H71" s="171"/>
      <c r="I71" s="169"/>
      <c r="J71" s="172"/>
      <c r="K71" s="170"/>
      <c r="L71" s="172"/>
      <c r="M71" s="172"/>
      <c r="N71" s="170"/>
      <c r="O71" s="169"/>
      <c r="P71" s="172"/>
      <c r="Q71" s="170"/>
      <c r="R71" s="169"/>
      <c r="S71" s="169"/>
      <c r="T71" s="169"/>
      <c r="U71" s="149"/>
      <c r="V71" s="171"/>
      <c r="W71" s="171"/>
      <c r="X71" s="171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</row>
    <row r="72" spans="1:38" ht="12">
      <c r="A72" s="152" t="s">
        <v>105</v>
      </c>
      <c r="B72" s="147">
        <v>51</v>
      </c>
      <c r="C72" s="153"/>
      <c r="D72" s="153">
        <v>31</v>
      </c>
      <c r="E72" s="153">
        <v>143</v>
      </c>
      <c r="F72" s="148">
        <f>323+209+91</f>
        <v>623</v>
      </c>
      <c r="G72" s="154">
        <v>34</v>
      </c>
      <c r="H72" s="154">
        <f>291+2692</f>
        <v>2983</v>
      </c>
      <c r="I72" s="148">
        <f>406+64</f>
        <v>470</v>
      </c>
      <c r="J72" s="154">
        <v>1514</v>
      </c>
      <c r="K72" s="154">
        <v>336</v>
      </c>
      <c r="L72" s="154">
        <v>52</v>
      </c>
      <c r="M72" s="154">
        <v>31</v>
      </c>
      <c r="N72" s="148">
        <v>512</v>
      </c>
      <c r="O72" s="148">
        <v>406</v>
      </c>
      <c r="P72" s="154">
        <v>448</v>
      </c>
      <c r="Q72" s="154">
        <v>47</v>
      </c>
      <c r="R72" s="147">
        <f>499+272</f>
        <v>771</v>
      </c>
      <c r="S72" s="147">
        <v>74</v>
      </c>
      <c r="T72" s="154">
        <v>146</v>
      </c>
      <c r="U72" s="149">
        <f>SUM(B72:T72)</f>
        <v>8672</v>
      </c>
      <c r="V72" s="150"/>
      <c r="W72" s="150"/>
      <c r="X72" s="150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</row>
    <row r="73" spans="1:38" ht="12">
      <c r="A73" s="152" t="s">
        <v>115</v>
      </c>
      <c r="B73" s="147">
        <v>20</v>
      </c>
      <c r="C73" s="153"/>
      <c r="D73" s="153">
        <v>0</v>
      </c>
      <c r="E73" s="153">
        <v>38</v>
      </c>
      <c r="F73" s="148">
        <f>115+34+15</f>
        <v>164</v>
      </c>
      <c r="G73" s="154">
        <v>1</v>
      </c>
      <c r="H73" s="148">
        <v>208</v>
      </c>
      <c r="I73" s="148">
        <f>106+15</f>
        <v>121</v>
      </c>
      <c r="J73" s="148">
        <v>487</v>
      </c>
      <c r="K73" s="154">
        <v>79</v>
      </c>
      <c r="L73" s="154">
        <v>7</v>
      </c>
      <c r="M73" s="154">
        <v>4</v>
      </c>
      <c r="N73" s="148">
        <v>70</v>
      </c>
      <c r="O73" s="154">
        <v>114</v>
      </c>
      <c r="P73" s="148">
        <v>72</v>
      </c>
      <c r="Q73" s="154">
        <v>5</v>
      </c>
      <c r="R73" s="147">
        <f>135+74</f>
        <v>209</v>
      </c>
      <c r="S73" s="147">
        <v>7</v>
      </c>
      <c r="T73" s="154">
        <v>35</v>
      </c>
      <c r="U73" s="149">
        <f>SUM(B73:T73)</f>
        <v>1641</v>
      </c>
      <c r="V73" s="164"/>
      <c r="W73" s="160"/>
      <c r="X73" s="160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</row>
    <row r="74" spans="1:66" ht="12">
      <c r="A74" s="152" t="s">
        <v>107</v>
      </c>
      <c r="B74" s="157">
        <f aca="true" t="shared" si="28" ref="B74:U74">+B72+B73</f>
        <v>71</v>
      </c>
      <c r="C74" s="157">
        <f t="shared" si="28"/>
        <v>0</v>
      </c>
      <c r="D74" s="157">
        <f t="shared" si="28"/>
        <v>31</v>
      </c>
      <c r="E74" s="157">
        <f t="shared" si="28"/>
        <v>181</v>
      </c>
      <c r="F74" s="157">
        <f t="shared" si="28"/>
        <v>787</v>
      </c>
      <c r="G74" s="157">
        <f t="shared" si="28"/>
        <v>35</v>
      </c>
      <c r="H74" s="157">
        <f t="shared" si="28"/>
        <v>3191</v>
      </c>
      <c r="I74" s="157">
        <f t="shared" si="28"/>
        <v>591</v>
      </c>
      <c r="J74" s="157">
        <f t="shared" si="28"/>
        <v>2001</v>
      </c>
      <c r="K74" s="157">
        <f t="shared" si="28"/>
        <v>415</v>
      </c>
      <c r="L74" s="157">
        <f t="shared" si="28"/>
        <v>59</v>
      </c>
      <c r="M74" s="157">
        <f t="shared" si="28"/>
        <v>35</v>
      </c>
      <c r="N74" s="157">
        <f t="shared" si="28"/>
        <v>582</v>
      </c>
      <c r="O74" s="157">
        <f t="shared" si="28"/>
        <v>520</v>
      </c>
      <c r="P74" s="157">
        <f t="shared" si="28"/>
        <v>520</v>
      </c>
      <c r="Q74" s="157">
        <f t="shared" si="28"/>
        <v>52</v>
      </c>
      <c r="R74" s="157">
        <f t="shared" si="28"/>
        <v>980</v>
      </c>
      <c r="S74" s="157">
        <f t="shared" si="28"/>
        <v>81</v>
      </c>
      <c r="T74" s="157">
        <f t="shared" si="28"/>
        <v>181</v>
      </c>
      <c r="U74" s="157">
        <f t="shared" si="28"/>
        <v>10313</v>
      </c>
      <c r="V74" s="158"/>
      <c r="W74" s="155"/>
      <c r="X74" s="155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  <c r="BM74" s="156"/>
      <c r="BN74" s="156"/>
    </row>
    <row r="75" spans="1:38" ht="12">
      <c r="A75" s="146" t="s">
        <v>111</v>
      </c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49"/>
      <c r="V75" s="163"/>
      <c r="W75" s="173"/>
      <c r="X75" s="173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</row>
    <row r="76" spans="1:38" ht="12">
      <c r="A76" s="152" t="s">
        <v>105</v>
      </c>
      <c r="B76" s="147"/>
      <c r="C76" s="153">
        <v>228</v>
      </c>
      <c r="D76" s="153"/>
      <c r="E76" s="153"/>
      <c r="F76" s="148"/>
      <c r="G76" s="154">
        <v>1312</v>
      </c>
      <c r="H76" s="154"/>
      <c r="I76" s="148">
        <v>375</v>
      </c>
      <c r="J76" s="154"/>
      <c r="K76" s="154"/>
      <c r="L76" s="154">
        <v>1218</v>
      </c>
      <c r="M76" s="154">
        <v>541</v>
      </c>
      <c r="N76" s="148"/>
      <c r="O76" s="148"/>
      <c r="P76" s="154"/>
      <c r="Q76" s="154"/>
      <c r="R76" s="147"/>
      <c r="S76" s="147"/>
      <c r="T76" s="154"/>
      <c r="U76" s="149">
        <f>SUM(B76:T76)</f>
        <v>3674</v>
      </c>
      <c r="V76" s="177"/>
      <c r="W76" s="159"/>
      <c r="X76" s="159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</row>
    <row r="77" spans="1:38" ht="12">
      <c r="A77" s="152" t="s">
        <v>115</v>
      </c>
      <c r="B77" s="147"/>
      <c r="C77" s="153">
        <v>100</v>
      </c>
      <c r="D77" s="153"/>
      <c r="E77" s="153"/>
      <c r="F77" s="148"/>
      <c r="G77" s="154">
        <v>252</v>
      </c>
      <c r="H77" s="148"/>
      <c r="I77" s="148">
        <v>195</v>
      </c>
      <c r="J77" s="148"/>
      <c r="K77" s="154"/>
      <c r="L77" s="154">
        <v>379</v>
      </c>
      <c r="M77" s="154">
        <v>270</v>
      </c>
      <c r="N77" s="148"/>
      <c r="O77" s="154"/>
      <c r="P77" s="148"/>
      <c r="Q77" s="154"/>
      <c r="R77" s="147"/>
      <c r="S77" s="147"/>
      <c r="T77" s="154"/>
      <c r="U77" s="149">
        <f>SUM(B77:T77)</f>
        <v>1196</v>
      </c>
      <c r="V77" s="150"/>
      <c r="W77" s="155"/>
      <c r="X77" s="155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</row>
    <row r="78" spans="1:66" ht="12">
      <c r="A78" s="152" t="s">
        <v>107</v>
      </c>
      <c r="B78" s="157">
        <f aca="true" t="shared" si="29" ref="B78:U78">+B76+B77</f>
        <v>0</v>
      </c>
      <c r="C78" s="157">
        <f t="shared" si="29"/>
        <v>328</v>
      </c>
      <c r="D78" s="157">
        <f t="shared" si="29"/>
        <v>0</v>
      </c>
      <c r="E78" s="157">
        <f t="shared" si="29"/>
        <v>0</v>
      </c>
      <c r="F78" s="157">
        <f t="shared" si="29"/>
        <v>0</v>
      </c>
      <c r="G78" s="157">
        <f t="shared" si="29"/>
        <v>1564</v>
      </c>
      <c r="H78" s="157">
        <f t="shared" si="29"/>
        <v>0</v>
      </c>
      <c r="I78" s="157">
        <f t="shared" si="29"/>
        <v>570</v>
      </c>
      <c r="J78" s="157">
        <f t="shared" si="29"/>
        <v>0</v>
      </c>
      <c r="K78" s="157">
        <f t="shared" si="29"/>
        <v>0</v>
      </c>
      <c r="L78" s="157">
        <f t="shared" si="29"/>
        <v>1597</v>
      </c>
      <c r="M78" s="157">
        <f t="shared" si="29"/>
        <v>811</v>
      </c>
      <c r="N78" s="157">
        <f t="shared" si="29"/>
        <v>0</v>
      </c>
      <c r="O78" s="157">
        <f t="shared" si="29"/>
        <v>0</v>
      </c>
      <c r="P78" s="157">
        <f t="shared" si="29"/>
        <v>0</v>
      </c>
      <c r="Q78" s="157">
        <f t="shared" si="29"/>
        <v>0</v>
      </c>
      <c r="R78" s="157">
        <f t="shared" si="29"/>
        <v>0</v>
      </c>
      <c r="S78" s="157">
        <f t="shared" si="29"/>
        <v>0</v>
      </c>
      <c r="T78" s="157">
        <f t="shared" si="29"/>
        <v>0</v>
      </c>
      <c r="U78" s="157">
        <f t="shared" si="29"/>
        <v>4870</v>
      </c>
      <c r="V78" s="158"/>
      <c r="W78" s="155"/>
      <c r="X78" s="155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N78" s="156"/>
    </row>
    <row r="79" spans="1:38" ht="12">
      <c r="A79" s="146" t="s">
        <v>112</v>
      </c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9"/>
      <c r="V79" s="150"/>
      <c r="W79" s="155"/>
      <c r="X79" s="155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</row>
    <row r="80" spans="1:24" ht="12">
      <c r="A80" s="152" t="s">
        <v>105</v>
      </c>
      <c r="B80" s="180">
        <f>+B76+B72+B68+B64+B60</f>
        <v>326</v>
      </c>
      <c r="C80" s="180">
        <f aca="true" t="shared" si="30" ref="C80:U80">+C76+C72+C68+C64+C60</f>
        <v>274</v>
      </c>
      <c r="D80" s="180">
        <f t="shared" si="30"/>
        <v>123</v>
      </c>
      <c r="E80" s="180">
        <f t="shared" si="30"/>
        <v>446</v>
      </c>
      <c r="F80" s="180">
        <f t="shared" si="30"/>
        <v>3150</v>
      </c>
      <c r="G80" s="180">
        <f t="shared" si="30"/>
        <v>1521</v>
      </c>
      <c r="H80" s="180">
        <f t="shared" si="30"/>
        <v>3540</v>
      </c>
      <c r="I80" s="180">
        <f t="shared" si="30"/>
        <v>1886</v>
      </c>
      <c r="J80" s="180">
        <f t="shared" si="30"/>
        <v>5610</v>
      </c>
      <c r="K80" s="180">
        <f t="shared" si="30"/>
        <v>1737</v>
      </c>
      <c r="L80" s="180">
        <f t="shared" si="30"/>
        <v>2843</v>
      </c>
      <c r="M80" s="180">
        <f t="shared" si="30"/>
        <v>629</v>
      </c>
      <c r="N80" s="180">
        <f t="shared" si="30"/>
        <v>1130</v>
      </c>
      <c r="O80" s="180">
        <f t="shared" si="30"/>
        <v>3233</v>
      </c>
      <c r="P80" s="180">
        <f t="shared" si="30"/>
        <v>1731</v>
      </c>
      <c r="Q80" s="180">
        <f t="shared" si="30"/>
        <v>304</v>
      </c>
      <c r="R80" s="180">
        <f t="shared" si="30"/>
        <v>3122</v>
      </c>
      <c r="S80" s="180">
        <f t="shared" si="30"/>
        <v>223</v>
      </c>
      <c r="T80" s="180">
        <f t="shared" si="30"/>
        <v>562</v>
      </c>
      <c r="U80" s="180">
        <f t="shared" si="30"/>
        <v>32390</v>
      </c>
      <c r="V80" s="181"/>
      <c r="W80" s="182"/>
      <c r="X80" s="182"/>
    </row>
    <row r="81" spans="1:24" ht="12">
      <c r="A81" s="152" t="s">
        <v>115</v>
      </c>
      <c r="B81" s="180">
        <f>+B77+B73+B69+B65+B61</f>
        <v>190</v>
      </c>
      <c r="C81" s="180">
        <f aca="true" t="shared" si="31" ref="C81:U81">+C77+C73+C69+C65+C61</f>
        <v>104</v>
      </c>
      <c r="D81" s="180">
        <f t="shared" si="31"/>
        <v>16</v>
      </c>
      <c r="E81" s="180">
        <f t="shared" si="31"/>
        <v>507</v>
      </c>
      <c r="F81" s="180">
        <f t="shared" si="31"/>
        <v>1683</v>
      </c>
      <c r="G81" s="180">
        <f t="shared" si="31"/>
        <v>538</v>
      </c>
      <c r="H81" s="180">
        <f t="shared" si="31"/>
        <v>1911</v>
      </c>
      <c r="I81" s="180">
        <f t="shared" si="31"/>
        <v>915</v>
      </c>
      <c r="J81" s="180">
        <f t="shared" si="31"/>
        <v>3554</v>
      </c>
      <c r="K81" s="180">
        <f t="shared" si="31"/>
        <v>999</v>
      </c>
      <c r="L81" s="180">
        <f t="shared" si="31"/>
        <v>713</v>
      </c>
      <c r="M81" s="180">
        <f t="shared" si="31"/>
        <v>342</v>
      </c>
      <c r="N81" s="180">
        <f t="shared" si="31"/>
        <v>362</v>
      </c>
      <c r="O81" s="180">
        <f t="shared" si="31"/>
        <v>1785</v>
      </c>
      <c r="P81" s="180">
        <f t="shared" si="31"/>
        <v>862</v>
      </c>
      <c r="Q81" s="180">
        <f t="shared" si="31"/>
        <v>200</v>
      </c>
      <c r="R81" s="180">
        <f t="shared" si="31"/>
        <v>1664</v>
      </c>
      <c r="S81" s="180">
        <f t="shared" si="31"/>
        <v>62</v>
      </c>
      <c r="T81" s="180">
        <f t="shared" si="31"/>
        <v>105</v>
      </c>
      <c r="U81" s="180">
        <f t="shared" si="31"/>
        <v>16512</v>
      </c>
      <c r="V81" s="181"/>
      <c r="W81" s="182"/>
      <c r="X81" s="182"/>
    </row>
    <row r="82" spans="1:66" ht="12">
      <c r="A82" s="183" t="s">
        <v>107</v>
      </c>
      <c r="B82" s="184">
        <f aca="true" t="shared" si="32" ref="B82:U82">+B80+B81</f>
        <v>516</v>
      </c>
      <c r="C82" s="184">
        <f t="shared" si="32"/>
        <v>378</v>
      </c>
      <c r="D82" s="184">
        <f t="shared" si="32"/>
        <v>139</v>
      </c>
      <c r="E82" s="184">
        <f t="shared" si="32"/>
        <v>953</v>
      </c>
      <c r="F82" s="184">
        <f t="shared" si="32"/>
        <v>4833</v>
      </c>
      <c r="G82" s="184">
        <f t="shared" si="32"/>
        <v>2059</v>
      </c>
      <c r="H82" s="184">
        <f t="shared" si="32"/>
        <v>5451</v>
      </c>
      <c r="I82" s="184">
        <f t="shared" si="32"/>
        <v>2801</v>
      </c>
      <c r="J82" s="184">
        <f t="shared" si="32"/>
        <v>9164</v>
      </c>
      <c r="K82" s="184">
        <f t="shared" si="32"/>
        <v>2736</v>
      </c>
      <c r="L82" s="184">
        <f t="shared" si="32"/>
        <v>3556</v>
      </c>
      <c r="M82" s="184">
        <f t="shared" si="32"/>
        <v>971</v>
      </c>
      <c r="N82" s="184">
        <f t="shared" si="32"/>
        <v>1492</v>
      </c>
      <c r="O82" s="184">
        <f t="shared" si="32"/>
        <v>5018</v>
      </c>
      <c r="P82" s="184">
        <f t="shared" si="32"/>
        <v>2593</v>
      </c>
      <c r="Q82" s="184">
        <f t="shared" si="32"/>
        <v>504</v>
      </c>
      <c r="R82" s="184">
        <f t="shared" si="32"/>
        <v>4786</v>
      </c>
      <c r="S82" s="184">
        <f t="shared" si="32"/>
        <v>285</v>
      </c>
      <c r="T82" s="184">
        <f t="shared" si="32"/>
        <v>667</v>
      </c>
      <c r="U82" s="184">
        <f t="shared" si="32"/>
        <v>48902</v>
      </c>
      <c r="V82" s="158"/>
      <c r="W82" s="155"/>
      <c r="X82" s="155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</row>
    <row r="83" spans="1:24" ht="12">
      <c r="A83" s="73" t="s">
        <v>113</v>
      </c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6"/>
      <c r="V83" s="187"/>
      <c r="W83" s="188"/>
      <c r="X83" s="188"/>
    </row>
    <row r="84" spans="1:24" ht="12">
      <c r="A84" s="77" t="s">
        <v>66</v>
      </c>
      <c r="B84" s="189"/>
      <c r="C84" s="180"/>
      <c r="D84" s="189"/>
      <c r="E84" s="180"/>
      <c r="F84" s="189"/>
      <c r="G84" s="189"/>
      <c r="H84" s="189"/>
      <c r="I84" s="189"/>
      <c r="J84" s="189"/>
      <c r="K84" s="180"/>
      <c r="L84" s="189"/>
      <c r="M84" s="189"/>
      <c r="N84" s="180"/>
      <c r="O84" s="189"/>
      <c r="P84" s="189"/>
      <c r="Q84" s="180"/>
      <c r="R84" s="189"/>
      <c r="S84" s="189"/>
      <c r="T84" s="189"/>
      <c r="U84" s="186"/>
      <c r="V84" s="190"/>
      <c r="W84" s="80"/>
      <c r="X84" s="80"/>
    </row>
    <row r="85" spans="1:24" ht="12">
      <c r="A85" s="191"/>
      <c r="B85" s="186"/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92"/>
      <c r="W85" s="193"/>
      <c r="X85" s="193"/>
    </row>
    <row r="86" spans="1:24" ht="12">
      <c r="A86" s="194"/>
      <c r="B86" s="194"/>
      <c r="C86" s="30"/>
      <c r="D86" s="194"/>
      <c r="E86" s="30"/>
      <c r="F86" s="194"/>
      <c r="G86" s="194"/>
      <c r="H86" s="55"/>
      <c r="I86" s="194"/>
      <c r="J86" s="194"/>
      <c r="K86" s="30"/>
      <c r="L86" s="194"/>
      <c r="M86" s="194"/>
      <c r="N86" s="30"/>
      <c r="O86" s="194"/>
      <c r="P86" s="194"/>
      <c r="Q86" s="30"/>
      <c r="R86" s="55"/>
      <c r="S86" s="194"/>
      <c r="T86" s="194"/>
      <c r="U86" s="195"/>
      <c r="V86" s="196"/>
      <c r="W86" s="197"/>
      <c r="X86" s="197"/>
    </row>
    <row r="87" spans="1:24" ht="12">
      <c r="A87" s="198"/>
      <c r="B87" s="199"/>
      <c r="C87" s="30"/>
      <c r="D87" s="30"/>
      <c r="E87" s="30"/>
      <c r="F87" s="199"/>
      <c r="G87" s="199"/>
      <c r="H87" s="199"/>
      <c r="I87" s="199"/>
      <c r="J87" s="199"/>
      <c r="K87" s="30"/>
      <c r="L87" s="199"/>
      <c r="M87" s="199"/>
      <c r="N87" s="30"/>
      <c r="O87" s="199"/>
      <c r="P87" s="199"/>
      <c r="Q87" s="30"/>
      <c r="R87" s="199"/>
      <c r="S87" s="199"/>
      <c r="T87" s="199"/>
      <c r="U87" s="186"/>
      <c r="V87" s="200"/>
      <c r="W87" s="199"/>
      <c r="X87" s="199"/>
    </row>
    <row r="88" spans="1:24" ht="12">
      <c r="A88" s="198"/>
      <c r="B88" s="199"/>
      <c r="C88" s="30"/>
      <c r="D88" s="30"/>
      <c r="E88" s="30"/>
      <c r="F88" s="199"/>
      <c r="G88" s="199"/>
      <c r="H88" s="199"/>
      <c r="I88" s="199"/>
      <c r="J88" s="199"/>
      <c r="K88" s="30"/>
      <c r="L88" s="199"/>
      <c r="M88" s="199"/>
      <c r="N88" s="30"/>
      <c r="O88" s="199"/>
      <c r="P88" s="199"/>
      <c r="Q88" s="30"/>
      <c r="R88" s="199"/>
      <c r="S88" s="199"/>
      <c r="T88" s="199"/>
      <c r="U88" s="186"/>
      <c r="V88" s="200"/>
      <c r="W88" s="199"/>
      <c r="X88" s="199"/>
    </row>
    <row r="89" spans="1:24" ht="12">
      <c r="A89" s="198"/>
      <c r="B89" s="199"/>
      <c r="C89" s="30"/>
      <c r="D89" s="30"/>
      <c r="E89" s="30"/>
      <c r="F89" s="199"/>
      <c r="G89" s="199"/>
      <c r="H89" s="199"/>
      <c r="I89" s="199"/>
      <c r="J89" s="199"/>
      <c r="K89" s="30"/>
      <c r="L89" s="199"/>
      <c r="M89" s="199"/>
      <c r="N89" s="30"/>
      <c r="O89" s="199"/>
      <c r="P89" s="199"/>
      <c r="Q89" s="30"/>
      <c r="R89" s="199"/>
      <c r="S89" s="199"/>
      <c r="T89" s="199"/>
      <c r="U89" s="186"/>
      <c r="V89" s="200"/>
      <c r="W89" s="199"/>
      <c r="X89" s="199"/>
    </row>
    <row r="90" spans="1:24" ht="12">
      <c r="A90" s="198"/>
      <c r="B90" s="199"/>
      <c r="C90" s="30"/>
      <c r="D90" s="30"/>
      <c r="E90" s="30"/>
      <c r="F90" s="199"/>
      <c r="G90" s="199"/>
      <c r="H90" s="199"/>
      <c r="I90" s="199"/>
      <c r="J90" s="199"/>
      <c r="K90" s="30"/>
      <c r="L90" s="199"/>
      <c r="M90" s="199"/>
      <c r="N90" s="30"/>
      <c r="O90" s="199"/>
      <c r="P90" s="199"/>
      <c r="Q90" s="30"/>
      <c r="R90" s="199"/>
      <c r="S90" s="199"/>
      <c r="T90" s="199"/>
      <c r="U90" s="186"/>
      <c r="V90" s="200"/>
      <c r="W90" s="199"/>
      <c r="X90" s="199"/>
    </row>
    <row r="91" spans="1:24" ht="12">
      <c r="A91" s="198"/>
      <c r="B91" s="199"/>
      <c r="C91" s="30"/>
      <c r="D91" s="30"/>
      <c r="E91" s="30"/>
      <c r="F91" s="199"/>
      <c r="G91" s="199"/>
      <c r="H91" s="199"/>
      <c r="I91" s="199"/>
      <c r="J91" s="30"/>
      <c r="K91" s="30"/>
      <c r="L91" s="199"/>
      <c r="M91" s="199"/>
      <c r="N91" s="30"/>
      <c r="O91" s="199"/>
      <c r="P91" s="199"/>
      <c r="Q91" s="30"/>
      <c r="R91" s="199"/>
      <c r="S91" s="199"/>
      <c r="T91" s="199"/>
      <c r="U91" s="186"/>
      <c r="V91" s="200"/>
      <c r="W91" s="199"/>
      <c r="X91" s="199"/>
    </row>
    <row r="92" spans="1:24" ht="12">
      <c r="A92" s="198"/>
      <c r="B92" s="199"/>
      <c r="C92" s="30"/>
      <c r="D92" s="199"/>
      <c r="E92" s="30"/>
      <c r="F92" s="199"/>
      <c r="G92" s="199"/>
      <c r="H92" s="199"/>
      <c r="I92" s="199"/>
      <c r="J92" s="199"/>
      <c r="K92" s="30"/>
      <c r="L92" s="199"/>
      <c r="M92" s="199"/>
      <c r="N92" s="30"/>
      <c r="O92" s="199"/>
      <c r="P92" s="199"/>
      <c r="Q92" s="30"/>
      <c r="R92" s="199"/>
      <c r="S92" s="199"/>
      <c r="T92" s="199"/>
      <c r="U92" s="186"/>
      <c r="V92" s="200"/>
      <c r="W92" s="199"/>
      <c r="X92" s="199"/>
    </row>
    <row r="93" spans="1:24" ht="12">
      <c r="A93" s="201"/>
      <c r="B93" s="202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186"/>
      <c r="V93" s="203"/>
      <c r="W93" s="202"/>
      <c r="X93" s="202"/>
    </row>
    <row r="94" spans="1:24" ht="12">
      <c r="A94" s="30"/>
      <c r="B94" s="199"/>
      <c r="C94" s="30"/>
      <c r="D94" s="199"/>
      <c r="E94" s="30"/>
      <c r="F94" s="199"/>
      <c r="G94" s="199"/>
      <c r="H94" s="199"/>
      <c r="I94" s="199"/>
      <c r="J94" s="199"/>
      <c r="K94" s="30"/>
      <c r="L94" s="199"/>
      <c r="M94" s="199"/>
      <c r="N94" s="30"/>
      <c r="O94" s="199"/>
      <c r="P94" s="30"/>
      <c r="Q94" s="30"/>
      <c r="R94" s="199"/>
      <c r="S94" s="199"/>
      <c r="T94" s="199"/>
      <c r="U94" s="186"/>
      <c r="V94" s="200"/>
      <c r="W94" s="199"/>
      <c r="X94" s="199"/>
    </row>
    <row r="95" spans="1:24" ht="12">
      <c r="A95" s="160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4"/>
      <c r="W95" s="160"/>
      <c r="X95" s="160"/>
    </row>
    <row r="96" spans="1:24" ht="12">
      <c r="A96" s="204"/>
      <c r="B96" s="205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6"/>
      <c r="V96" s="203"/>
      <c r="W96" s="202"/>
      <c r="X96" s="202"/>
    </row>
  </sheetData>
  <sheetProtection/>
  <mergeCells count="1">
    <mergeCell ref="B3:T3"/>
  </mergeCells>
  <printOptions/>
  <pageMargins left="0.5511811023622047" right="0.2362204724409449" top="0.5511811023622047" bottom="0.1968503937007874" header="0.5118110236220472" footer="0.2362204724409449"/>
  <pageSetup fitToHeight="1" fitToWidth="1" orientation="portrait" paperSize="9" scale="65" r:id="rId1"/>
  <headerFooter alignWithMargins="0">
    <oddHeader>&amp;R&amp;F</oddHeader>
    <oddFooter>&amp;LComune di Bologna - Dipartimento Programmazione - Settore Statistica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6"/>
  <sheetViews>
    <sheetView showZeros="0" zoomScalePageLayoutView="0" workbookViewId="0" topLeftCell="A1">
      <pane ySplit="7" topLeftCell="A11" activePane="bottomLeft" state="frozen"/>
      <selection pane="topLeft" activeCell="T1" sqref="T1:T16384"/>
      <selection pane="bottomLeft" activeCell="T1" sqref="T1:T16384"/>
    </sheetView>
  </sheetViews>
  <sheetFormatPr defaultColWidth="10.875" defaultRowHeight="12"/>
  <cols>
    <col min="1" max="1" width="30.875" style="139" customWidth="1"/>
    <col min="2" max="2" width="6.00390625" style="139" customWidth="1"/>
    <col min="3" max="3" width="6.125" style="139" customWidth="1"/>
    <col min="4" max="4" width="7.625" style="139" customWidth="1"/>
    <col min="5" max="5" width="7.375" style="139" customWidth="1"/>
    <col min="6" max="10" width="7.625" style="139" customWidth="1"/>
    <col min="11" max="11" width="9.75390625" style="139" customWidth="1"/>
    <col min="12" max="15" width="7.625" style="139" customWidth="1"/>
    <col min="16" max="16" width="9.875" style="139" customWidth="1"/>
    <col min="17" max="19" width="7.625" style="139" customWidth="1"/>
    <col min="20" max="20" width="9.00390625" style="139" customWidth="1"/>
    <col min="21" max="21" width="7.125" style="139" customWidth="1"/>
    <col min="22" max="23" width="9.875" style="139" customWidth="1"/>
    <col min="24" max="16384" width="10.875" style="139" customWidth="1"/>
  </cols>
  <sheetData>
    <row r="1" spans="1:22" s="121" customFormat="1" ht="15" customHeight="1">
      <c r="A1" s="272" t="s">
        <v>116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118"/>
      <c r="N1" s="118"/>
      <c r="O1" s="118"/>
      <c r="P1" s="118"/>
      <c r="Q1" s="118"/>
      <c r="R1" s="118"/>
      <c r="S1" s="119" t="s">
        <v>0</v>
      </c>
      <c r="T1" s="118"/>
      <c r="U1" s="119"/>
      <c r="V1" s="120"/>
    </row>
    <row r="2" spans="1:22" s="132" customFormat="1" ht="15">
      <c r="A2" s="122" t="s">
        <v>121</v>
      </c>
      <c r="B2" s="123"/>
      <c r="C2" s="123"/>
      <c r="D2" s="124"/>
      <c r="E2" s="123"/>
      <c r="F2" s="125"/>
      <c r="G2" s="124"/>
      <c r="H2" s="126"/>
      <c r="I2" s="123"/>
      <c r="J2" s="127"/>
      <c r="K2" s="115" t="s">
        <v>0</v>
      </c>
      <c r="L2" s="123"/>
      <c r="M2" s="123"/>
      <c r="N2" s="123"/>
      <c r="O2" s="123"/>
      <c r="P2" s="123"/>
      <c r="Q2" s="123"/>
      <c r="R2" s="127"/>
      <c r="S2" s="129"/>
      <c r="T2" s="123"/>
      <c r="U2" s="130"/>
      <c r="V2" s="131"/>
    </row>
    <row r="3" spans="1:22" s="136" customFormat="1" ht="12">
      <c r="A3" s="133"/>
      <c r="B3" s="271" t="s">
        <v>2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134" t="s">
        <v>103</v>
      </c>
      <c r="V3" s="135"/>
    </row>
    <row r="4" spans="1:22" ht="12">
      <c r="A4" s="133"/>
      <c r="B4" s="137" t="s">
        <v>14</v>
      </c>
      <c r="C4" s="23" t="s">
        <v>77</v>
      </c>
      <c r="D4" s="23" t="s">
        <v>11</v>
      </c>
      <c r="E4" s="23" t="s">
        <v>17</v>
      </c>
      <c r="F4" s="23" t="s">
        <v>7</v>
      </c>
      <c r="G4" s="137" t="s">
        <v>89</v>
      </c>
      <c r="H4" s="23" t="s">
        <v>5</v>
      </c>
      <c r="I4" s="137" t="s">
        <v>13</v>
      </c>
      <c r="J4" s="23" t="s">
        <v>8</v>
      </c>
      <c r="K4" s="23" t="s">
        <v>15</v>
      </c>
      <c r="L4" s="23" t="s">
        <v>10</v>
      </c>
      <c r="M4" s="23" t="s">
        <v>10</v>
      </c>
      <c r="N4" s="23" t="s">
        <v>16</v>
      </c>
      <c r="O4" s="137" t="s">
        <v>6</v>
      </c>
      <c r="P4" s="23" t="s">
        <v>6</v>
      </c>
      <c r="Q4" s="23" t="s">
        <v>79</v>
      </c>
      <c r="R4" s="23" t="s">
        <v>6</v>
      </c>
      <c r="S4" s="23" t="s">
        <v>6</v>
      </c>
      <c r="T4" s="137" t="s">
        <v>9</v>
      </c>
      <c r="U4" s="137"/>
      <c r="V4" s="138"/>
    </row>
    <row r="5" spans="1:22" ht="12">
      <c r="A5" s="133"/>
      <c r="B5" s="137" t="s">
        <v>31</v>
      </c>
      <c r="C5" s="23" t="s">
        <v>78</v>
      </c>
      <c r="D5" s="23" t="s">
        <v>28</v>
      </c>
      <c r="E5" s="23" t="s">
        <v>35</v>
      </c>
      <c r="F5" s="23" t="s">
        <v>21</v>
      </c>
      <c r="G5" s="23" t="s">
        <v>29</v>
      </c>
      <c r="H5" s="23" t="s">
        <v>19</v>
      </c>
      <c r="I5" s="137" t="s">
        <v>30</v>
      </c>
      <c r="J5" s="23" t="s">
        <v>23</v>
      </c>
      <c r="K5" s="23" t="s">
        <v>33</v>
      </c>
      <c r="L5" s="23" t="s">
        <v>26</v>
      </c>
      <c r="M5" s="23" t="s">
        <v>32</v>
      </c>
      <c r="N5" s="23" t="s">
        <v>34</v>
      </c>
      <c r="O5" s="137" t="s">
        <v>24</v>
      </c>
      <c r="P5" s="23" t="s">
        <v>96</v>
      </c>
      <c r="Q5" s="23" t="s">
        <v>84</v>
      </c>
      <c r="R5" s="23" t="s">
        <v>20</v>
      </c>
      <c r="S5" s="137" t="s">
        <v>22</v>
      </c>
      <c r="T5" s="137" t="s">
        <v>101</v>
      </c>
      <c r="U5" s="137"/>
      <c r="V5" s="138"/>
    </row>
    <row r="6" spans="1:22" ht="12">
      <c r="A6" s="30"/>
      <c r="B6" s="30"/>
      <c r="C6" s="23"/>
      <c r="D6" s="23" t="s">
        <v>44</v>
      </c>
      <c r="E6" s="23" t="s">
        <v>46</v>
      </c>
      <c r="F6" s="137"/>
      <c r="G6" s="30"/>
      <c r="H6" s="23" t="s">
        <v>36</v>
      </c>
      <c r="I6" s="30"/>
      <c r="J6" s="23" t="s">
        <v>39</v>
      </c>
      <c r="K6" s="23" t="s">
        <v>95</v>
      </c>
      <c r="L6" s="23" t="s">
        <v>42</v>
      </c>
      <c r="M6" s="23" t="s">
        <v>45</v>
      </c>
      <c r="N6" s="23"/>
      <c r="O6" s="29" t="s">
        <v>40</v>
      </c>
      <c r="P6" s="23" t="s">
        <v>97</v>
      </c>
      <c r="Q6" s="23" t="s">
        <v>85</v>
      </c>
      <c r="R6" s="23" t="s">
        <v>37</v>
      </c>
      <c r="S6" s="137" t="s">
        <v>38</v>
      </c>
      <c r="T6" s="137" t="s">
        <v>99</v>
      </c>
      <c r="U6" s="137"/>
      <c r="V6" s="138"/>
    </row>
    <row r="7" spans="1:22" s="132" customFormat="1" ht="12">
      <c r="A7" s="140"/>
      <c r="B7" s="141"/>
      <c r="C7" s="142"/>
      <c r="D7" s="141"/>
      <c r="E7" s="142" t="s">
        <v>93</v>
      </c>
      <c r="F7" s="141"/>
      <c r="G7" s="141"/>
      <c r="H7" s="140"/>
      <c r="I7" s="141"/>
      <c r="J7" s="142" t="s">
        <v>47</v>
      </c>
      <c r="K7" s="142" t="s">
        <v>94</v>
      </c>
      <c r="L7" s="142" t="s">
        <v>50</v>
      </c>
      <c r="M7" s="142" t="s">
        <v>51</v>
      </c>
      <c r="N7" s="142"/>
      <c r="O7" s="141" t="s">
        <v>48</v>
      </c>
      <c r="P7" s="142" t="s">
        <v>98</v>
      </c>
      <c r="Q7" s="142"/>
      <c r="R7" s="141"/>
      <c r="S7" s="141"/>
      <c r="T7" s="141" t="s">
        <v>100</v>
      </c>
      <c r="U7" s="141"/>
      <c r="V7" s="131"/>
    </row>
    <row r="8" spans="2:22" s="136" customFormat="1" ht="12">
      <c r="B8" s="143"/>
      <c r="C8" s="143"/>
      <c r="E8" s="143"/>
      <c r="F8" s="143"/>
      <c r="G8" s="143"/>
      <c r="H8" s="143"/>
      <c r="I8" s="143"/>
      <c r="J8" s="144"/>
      <c r="K8" s="143" t="s">
        <v>54</v>
      </c>
      <c r="L8" s="143"/>
      <c r="M8" s="143"/>
      <c r="N8" s="143"/>
      <c r="O8" s="143"/>
      <c r="P8" s="145"/>
      <c r="Q8" s="143"/>
      <c r="R8" s="143"/>
      <c r="S8" s="143"/>
      <c r="T8" s="143"/>
      <c r="U8" s="143"/>
      <c r="V8" s="135"/>
    </row>
    <row r="9" spans="1:66" s="121" customFormat="1" ht="12">
      <c r="A9" s="146" t="s">
        <v>104</v>
      </c>
      <c r="B9" s="147"/>
      <c r="C9" s="147"/>
      <c r="D9" s="148"/>
      <c r="E9" s="148"/>
      <c r="F9" s="148"/>
      <c r="G9" s="148"/>
      <c r="H9" s="147"/>
      <c r="I9" s="148"/>
      <c r="J9" s="148"/>
      <c r="K9" s="147"/>
      <c r="L9" s="148"/>
      <c r="M9" s="148"/>
      <c r="N9" s="148"/>
      <c r="O9" s="148"/>
      <c r="P9" s="148"/>
      <c r="Q9" s="148"/>
      <c r="R9" s="147"/>
      <c r="S9" s="147"/>
      <c r="T9" s="147"/>
      <c r="U9" s="149"/>
      <c r="V9" s="150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</row>
    <row r="10" spans="1:66" ht="12">
      <c r="A10" s="152" t="s">
        <v>105</v>
      </c>
      <c r="B10" s="147">
        <f aca="true" t="shared" si="0" ref="B10:T10">+B35+B60</f>
        <v>0</v>
      </c>
      <c r="C10" s="147">
        <f t="shared" si="0"/>
        <v>0</v>
      </c>
      <c r="D10" s="147">
        <f t="shared" si="0"/>
        <v>0</v>
      </c>
      <c r="E10" s="147">
        <f t="shared" si="0"/>
        <v>1</v>
      </c>
      <c r="F10" s="147">
        <f t="shared" si="0"/>
        <v>0</v>
      </c>
      <c r="G10" s="147">
        <f t="shared" si="0"/>
        <v>1</v>
      </c>
      <c r="H10" s="147">
        <f t="shared" si="0"/>
        <v>1</v>
      </c>
      <c r="I10" s="147">
        <f t="shared" si="0"/>
        <v>0</v>
      </c>
      <c r="J10" s="147">
        <f t="shared" si="0"/>
        <v>0</v>
      </c>
      <c r="K10" s="147">
        <f t="shared" si="0"/>
        <v>0</v>
      </c>
      <c r="L10" s="147">
        <f t="shared" si="0"/>
        <v>1</v>
      </c>
      <c r="M10" s="147">
        <f t="shared" si="0"/>
        <v>0</v>
      </c>
      <c r="N10" s="147">
        <f t="shared" si="0"/>
        <v>0</v>
      </c>
      <c r="O10" s="147">
        <f t="shared" si="0"/>
        <v>993</v>
      </c>
      <c r="P10" s="147">
        <f t="shared" si="0"/>
        <v>0</v>
      </c>
      <c r="Q10" s="147">
        <f t="shared" si="0"/>
        <v>0</v>
      </c>
      <c r="R10" s="147">
        <f t="shared" si="0"/>
        <v>1</v>
      </c>
      <c r="S10" s="147">
        <f t="shared" si="0"/>
        <v>0</v>
      </c>
      <c r="T10" s="147">
        <f t="shared" si="0"/>
        <v>0</v>
      </c>
      <c r="U10" s="149">
        <f>SUM(B10:T10)</f>
        <v>998</v>
      </c>
      <c r="V10" s="150"/>
      <c r="W10" s="155"/>
      <c r="X10" s="155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</row>
    <row r="11" spans="1:66" ht="12">
      <c r="A11" s="152" t="s">
        <v>115</v>
      </c>
      <c r="B11" s="147">
        <f aca="true" t="shared" si="1" ref="B11:T11">+B36+B61</f>
        <v>166</v>
      </c>
      <c r="C11" s="147">
        <f t="shared" si="1"/>
        <v>0</v>
      </c>
      <c r="D11" s="147">
        <f t="shared" si="1"/>
        <v>29</v>
      </c>
      <c r="E11" s="147">
        <f t="shared" si="1"/>
        <v>382</v>
      </c>
      <c r="F11" s="147">
        <f t="shared" si="1"/>
        <v>725</v>
      </c>
      <c r="G11" s="147">
        <f t="shared" si="1"/>
        <v>468</v>
      </c>
      <c r="H11" s="147">
        <f t="shared" si="1"/>
        <v>2508</v>
      </c>
      <c r="I11" s="147">
        <f t="shared" si="1"/>
        <v>1448</v>
      </c>
      <c r="J11" s="147">
        <f t="shared" si="1"/>
        <v>2773</v>
      </c>
      <c r="K11" s="147">
        <f t="shared" si="1"/>
        <v>465</v>
      </c>
      <c r="L11" s="147">
        <f t="shared" si="1"/>
        <v>237</v>
      </c>
      <c r="M11" s="147">
        <f t="shared" si="1"/>
        <v>105</v>
      </c>
      <c r="N11" s="147">
        <f t="shared" si="1"/>
        <v>233</v>
      </c>
      <c r="O11" s="147">
        <f t="shared" si="1"/>
        <v>784</v>
      </c>
      <c r="P11" s="147">
        <f t="shared" si="1"/>
        <v>670</v>
      </c>
      <c r="Q11" s="147">
        <f t="shared" si="1"/>
        <v>175</v>
      </c>
      <c r="R11" s="147">
        <f t="shared" si="1"/>
        <v>1129</v>
      </c>
      <c r="S11" s="147">
        <f t="shared" si="1"/>
        <v>58</v>
      </c>
      <c r="T11" s="147">
        <f t="shared" si="1"/>
        <v>33</v>
      </c>
      <c r="U11" s="149">
        <f>SUM(B11:T11)</f>
        <v>12388</v>
      </c>
      <c r="V11" s="150"/>
      <c r="W11" s="155"/>
      <c r="X11" s="155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</row>
    <row r="12" spans="1:66" ht="12">
      <c r="A12" s="152" t="s">
        <v>107</v>
      </c>
      <c r="B12" s="147">
        <f aca="true" t="shared" si="2" ref="B12:T12">+B37+B62</f>
        <v>166</v>
      </c>
      <c r="C12" s="147">
        <f t="shared" si="2"/>
        <v>0</v>
      </c>
      <c r="D12" s="147">
        <f t="shared" si="2"/>
        <v>29</v>
      </c>
      <c r="E12" s="147">
        <f t="shared" si="2"/>
        <v>383</v>
      </c>
      <c r="F12" s="147">
        <f t="shared" si="2"/>
        <v>725</v>
      </c>
      <c r="G12" s="147">
        <f t="shared" si="2"/>
        <v>469</v>
      </c>
      <c r="H12" s="147">
        <f t="shared" si="2"/>
        <v>2509</v>
      </c>
      <c r="I12" s="147">
        <f t="shared" si="2"/>
        <v>1448</v>
      </c>
      <c r="J12" s="147">
        <f t="shared" si="2"/>
        <v>2773</v>
      </c>
      <c r="K12" s="147">
        <f t="shared" si="2"/>
        <v>465</v>
      </c>
      <c r="L12" s="147">
        <f t="shared" si="2"/>
        <v>238</v>
      </c>
      <c r="M12" s="147">
        <f t="shared" si="2"/>
        <v>105</v>
      </c>
      <c r="N12" s="147">
        <f t="shared" si="2"/>
        <v>233</v>
      </c>
      <c r="O12" s="147">
        <f t="shared" si="2"/>
        <v>1777</v>
      </c>
      <c r="P12" s="147">
        <f t="shared" si="2"/>
        <v>670</v>
      </c>
      <c r="Q12" s="147">
        <f t="shared" si="2"/>
        <v>175</v>
      </c>
      <c r="R12" s="147">
        <f t="shared" si="2"/>
        <v>1130</v>
      </c>
      <c r="S12" s="147">
        <f t="shared" si="2"/>
        <v>58</v>
      </c>
      <c r="T12" s="147">
        <f t="shared" si="2"/>
        <v>33</v>
      </c>
      <c r="U12" s="157">
        <f>+U10+U11</f>
        <v>13386</v>
      </c>
      <c r="V12" s="158"/>
      <c r="W12" s="155"/>
      <c r="X12" s="155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</row>
    <row r="13" spans="1:66" ht="12">
      <c r="A13" s="146" t="s">
        <v>108</v>
      </c>
      <c r="B13" s="147"/>
      <c r="C13" s="148"/>
      <c r="D13" s="148"/>
      <c r="E13" s="148"/>
      <c r="F13" s="148"/>
      <c r="G13" s="148"/>
      <c r="H13" s="147"/>
      <c r="I13" s="148"/>
      <c r="J13" s="148"/>
      <c r="K13" s="147"/>
      <c r="L13" s="148"/>
      <c r="M13" s="148"/>
      <c r="N13" s="148"/>
      <c r="O13" s="148"/>
      <c r="P13" s="148"/>
      <c r="Q13" s="148"/>
      <c r="R13" s="147"/>
      <c r="S13" s="147"/>
      <c r="T13" s="147"/>
      <c r="U13" s="149"/>
      <c r="V13" s="158"/>
      <c r="W13" s="155"/>
      <c r="X13" s="155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</row>
    <row r="14" spans="1:66" ht="12">
      <c r="A14" s="152" t="s">
        <v>105</v>
      </c>
      <c r="B14" s="147">
        <f aca="true" t="shared" si="3" ref="B14:T14">+B39+B64</f>
        <v>0</v>
      </c>
      <c r="C14" s="147">
        <f t="shared" si="3"/>
        <v>0</v>
      </c>
      <c r="D14" s="147">
        <f t="shared" si="3"/>
        <v>0</v>
      </c>
      <c r="E14" s="147">
        <f t="shared" si="3"/>
        <v>0</v>
      </c>
      <c r="F14" s="147">
        <f t="shared" si="3"/>
        <v>0</v>
      </c>
      <c r="G14" s="147">
        <f t="shared" si="3"/>
        <v>0</v>
      </c>
      <c r="H14" s="147">
        <f t="shared" si="3"/>
        <v>0</v>
      </c>
      <c r="I14" s="147">
        <f t="shared" si="3"/>
        <v>0</v>
      </c>
      <c r="J14" s="147">
        <f t="shared" si="3"/>
        <v>0</v>
      </c>
      <c r="K14" s="147">
        <f t="shared" si="3"/>
        <v>0</v>
      </c>
      <c r="L14" s="147">
        <f t="shared" si="3"/>
        <v>0</v>
      </c>
      <c r="M14" s="147">
        <f t="shared" si="3"/>
        <v>0</v>
      </c>
      <c r="N14" s="147">
        <f t="shared" si="3"/>
        <v>0</v>
      </c>
      <c r="O14" s="147">
        <f t="shared" si="3"/>
        <v>0</v>
      </c>
      <c r="P14" s="147">
        <f t="shared" si="3"/>
        <v>0</v>
      </c>
      <c r="Q14" s="147">
        <f t="shared" si="3"/>
        <v>0</v>
      </c>
      <c r="R14" s="147">
        <f t="shared" si="3"/>
        <v>0</v>
      </c>
      <c r="S14" s="147">
        <f t="shared" si="3"/>
        <v>0</v>
      </c>
      <c r="T14" s="147">
        <f t="shared" si="3"/>
        <v>0</v>
      </c>
      <c r="U14" s="149">
        <f>SUM(B14:T14)</f>
        <v>0</v>
      </c>
      <c r="V14" s="158"/>
      <c r="W14" s="155"/>
      <c r="X14" s="155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</row>
    <row r="15" spans="1:66" s="162" customFormat="1" ht="12">
      <c r="A15" s="152" t="s">
        <v>115</v>
      </c>
      <c r="B15" s="147">
        <f aca="true" t="shared" si="4" ref="B15:T15">+B40+B65</f>
        <v>1</v>
      </c>
      <c r="C15" s="147">
        <f t="shared" si="4"/>
        <v>0</v>
      </c>
      <c r="D15" s="147">
        <f t="shared" si="4"/>
        <v>0</v>
      </c>
      <c r="E15" s="147">
        <f t="shared" si="4"/>
        <v>16</v>
      </c>
      <c r="F15" s="147">
        <f t="shared" si="4"/>
        <v>9</v>
      </c>
      <c r="G15" s="147">
        <f t="shared" si="4"/>
        <v>1</v>
      </c>
      <c r="H15" s="147">
        <f t="shared" si="4"/>
        <v>5</v>
      </c>
      <c r="I15" s="147">
        <f t="shared" si="4"/>
        <v>25</v>
      </c>
      <c r="J15" s="147">
        <f t="shared" si="4"/>
        <v>0</v>
      </c>
      <c r="K15" s="147">
        <f t="shared" si="4"/>
        <v>0</v>
      </c>
      <c r="L15" s="147">
        <f t="shared" si="4"/>
        <v>2</v>
      </c>
      <c r="M15" s="147">
        <f t="shared" si="4"/>
        <v>1</v>
      </c>
      <c r="N15" s="147">
        <f t="shared" si="4"/>
        <v>0</v>
      </c>
      <c r="O15" s="147">
        <f t="shared" si="4"/>
        <v>2</v>
      </c>
      <c r="P15" s="147">
        <f t="shared" si="4"/>
        <v>0</v>
      </c>
      <c r="Q15" s="147">
        <f t="shared" si="4"/>
        <v>0</v>
      </c>
      <c r="R15" s="147">
        <f t="shared" si="4"/>
        <v>0</v>
      </c>
      <c r="S15" s="147">
        <f t="shared" si="4"/>
        <v>5</v>
      </c>
      <c r="T15" s="147">
        <f t="shared" si="4"/>
        <v>0</v>
      </c>
      <c r="U15" s="149">
        <f>SUM(B15:T15)</f>
        <v>67</v>
      </c>
      <c r="V15" s="160"/>
      <c r="W15" s="155"/>
      <c r="X15" s="155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</row>
    <row r="16" spans="1:66" ht="12">
      <c r="A16" s="152" t="s">
        <v>107</v>
      </c>
      <c r="B16" s="147">
        <f aca="true" t="shared" si="5" ref="B16:T16">+B41+B66</f>
        <v>1</v>
      </c>
      <c r="C16" s="147">
        <f t="shared" si="5"/>
        <v>0</v>
      </c>
      <c r="D16" s="147">
        <f t="shared" si="5"/>
        <v>0</v>
      </c>
      <c r="E16" s="147">
        <f t="shared" si="5"/>
        <v>16</v>
      </c>
      <c r="F16" s="147">
        <f t="shared" si="5"/>
        <v>9</v>
      </c>
      <c r="G16" s="147">
        <f t="shared" si="5"/>
        <v>1</v>
      </c>
      <c r="H16" s="147">
        <f t="shared" si="5"/>
        <v>5</v>
      </c>
      <c r="I16" s="147">
        <f t="shared" si="5"/>
        <v>25</v>
      </c>
      <c r="J16" s="147">
        <f t="shared" si="5"/>
        <v>0</v>
      </c>
      <c r="K16" s="147">
        <f t="shared" si="5"/>
        <v>0</v>
      </c>
      <c r="L16" s="147">
        <f t="shared" si="5"/>
        <v>2</v>
      </c>
      <c r="M16" s="147">
        <f t="shared" si="5"/>
        <v>1</v>
      </c>
      <c r="N16" s="147">
        <f t="shared" si="5"/>
        <v>0</v>
      </c>
      <c r="O16" s="147">
        <f t="shared" si="5"/>
        <v>2</v>
      </c>
      <c r="P16" s="147">
        <f t="shared" si="5"/>
        <v>0</v>
      </c>
      <c r="Q16" s="147">
        <f t="shared" si="5"/>
        <v>0</v>
      </c>
      <c r="R16" s="147">
        <f t="shared" si="5"/>
        <v>0</v>
      </c>
      <c r="S16" s="147">
        <f t="shared" si="5"/>
        <v>5</v>
      </c>
      <c r="T16" s="147">
        <f t="shared" si="5"/>
        <v>0</v>
      </c>
      <c r="U16" s="157">
        <f>+U14+U15</f>
        <v>67</v>
      </c>
      <c r="V16" s="158"/>
      <c r="W16" s="155"/>
      <c r="X16" s="155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</row>
    <row r="17" spans="1:66" s="166" customFormat="1" ht="12">
      <c r="A17" s="146" t="s">
        <v>109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48"/>
      <c r="S17" s="163"/>
      <c r="T17" s="163"/>
      <c r="U17" s="149"/>
      <c r="V17" s="164"/>
      <c r="W17" s="155"/>
      <c r="X17" s="15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</row>
    <row r="18" spans="1:66" ht="13.5" customHeight="1">
      <c r="A18" s="152" t="s">
        <v>105</v>
      </c>
      <c r="B18" s="147">
        <f aca="true" t="shared" si="6" ref="B18:T18">+B43+B68</f>
        <v>841</v>
      </c>
      <c r="C18" s="147">
        <f t="shared" si="6"/>
        <v>98</v>
      </c>
      <c r="D18" s="147">
        <f t="shared" si="6"/>
        <v>228</v>
      </c>
      <c r="E18" s="147">
        <f t="shared" si="6"/>
        <v>565</v>
      </c>
      <c r="F18" s="147">
        <f t="shared" si="6"/>
        <v>5411</v>
      </c>
      <c r="G18" s="147">
        <f t="shared" si="6"/>
        <v>273</v>
      </c>
      <c r="H18" s="147">
        <f t="shared" si="6"/>
        <v>2009</v>
      </c>
      <c r="I18" s="147">
        <f t="shared" si="6"/>
        <v>4431</v>
      </c>
      <c r="J18" s="147">
        <f t="shared" si="6"/>
        <v>7584</v>
      </c>
      <c r="K18" s="147">
        <f t="shared" si="6"/>
        <v>1884</v>
      </c>
      <c r="L18" s="147">
        <f t="shared" si="6"/>
        <v>2265</v>
      </c>
      <c r="M18" s="147">
        <f t="shared" si="6"/>
        <v>135</v>
      </c>
      <c r="N18" s="147">
        <f t="shared" si="6"/>
        <v>788</v>
      </c>
      <c r="O18" s="147">
        <f t="shared" si="6"/>
        <v>2634</v>
      </c>
      <c r="P18" s="147">
        <f t="shared" si="6"/>
        <v>3261</v>
      </c>
      <c r="Q18" s="147">
        <f t="shared" si="6"/>
        <v>805</v>
      </c>
      <c r="R18" s="147">
        <f t="shared" si="6"/>
        <v>4454</v>
      </c>
      <c r="S18" s="147">
        <f t="shared" si="6"/>
        <v>422</v>
      </c>
      <c r="T18" s="147">
        <f t="shared" si="6"/>
        <v>496</v>
      </c>
      <c r="U18" s="149">
        <f>SUM(B18:T18)</f>
        <v>38584</v>
      </c>
      <c r="V18" s="167"/>
      <c r="W18" s="168"/>
      <c r="X18" s="168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</row>
    <row r="19" spans="1:38" ht="12">
      <c r="A19" s="152" t="s">
        <v>115</v>
      </c>
      <c r="B19" s="147">
        <f aca="true" t="shared" si="7" ref="B19:T19">+B44+B69</f>
        <v>370</v>
      </c>
      <c r="C19" s="147">
        <f t="shared" si="7"/>
        <v>0</v>
      </c>
      <c r="D19" s="147">
        <f t="shared" si="7"/>
        <v>52</v>
      </c>
      <c r="E19" s="147">
        <f t="shared" si="7"/>
        <v>390</v>
      </c>
      <c r="F19" s="147">
        <f t="shared" si="7"/>
        <v>3063</v>
      </c>
      <c r="G19" s="147">
        <f t="shared" si="7"/>
        <v>107</v>
      </c>
      <c r="H19" s="147">
        <f t="shared" si="7"/>
        <v>1360</v>
      </c>
      <c r="I19" s="147">
        <f t="shared" si="7"/>
        <v>2602</v>
      </c>
      <c r="J19" s="147">
        <f t="shared" si="7"/>
        <v>3068</v>
      </c>
      <c r="K19" s="147">
        <f t="shared" si="7"/>
        <v>741</v>
      </c>
      <c r="L19" s="147">
        <f t="shared" si="7"/>
        <v>327</v>
      </c>
      <c r="M19" s="147">
        <f t="shared" si="7"/>
        <v>44</v>
      </c>
      <c r="N19" s="147">
        <f t="shared" si="7"/>
        <v>224</v>
      </c>
      <c r="O19" s="147">
        <f t="shared" si="7"/>
        <v>1014</v>
      </c>
      <c r="P19" s="147">
        <f t="shared" si="7"/>
        <v>1597</v>
      </c>
      <c r="Q19" s="147">
        <f t="shared" si="7"/>
        <v>271</v>
      </c>
      <c r="R19" s="147">
        <f t="shared" si="7"/>
        <v>1884</v>
      </c>
      <c r="S19" s="147">
        <f t="shared" si="7"/>
        <v>132</v>
      </c>
      <c r="T19" s="147">
        <f t="shared" si="7"/>
        <v>56</v>
      </c>
      <c r="U19" s="149">
        <f>SUM(B19:T19)</f>
        <v>17302</v>
      </c>
      <c r="V19" s="167"/>
      <c r="W19" s="168"/>
      <c r="X19" s="168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</row>
    <row r="20" spans="1:66" ht="12">
      <c r="A20" s="152" t="s">
        <v>107</v>
      </c>
      <c r="B20" s="147">
        <f aca="true" t="shared" si="8" ref="B20:T20">+B45+B70</f>
        <v>1211</v>
      </c>
      <c r="C20" s="147">
        <f t="shared" si="8"/>
        <v>98</v>
      </c>
      <c r="D20" s="147">
        <f t="shared" si="8"/>
        <v>280</v>
      </c>
      <c r="E20" s="147">
        <f t="shared" si="8"/>
        <v>955</v>
      </c>
      <c r="F20" s="147">
        <f t="shared" si="8"/>
        <v>8474</v>
      </c>
      <c r="G20" s="147">
        <f t="shared" si="8"/>
        <v>380</v>
      </c>
      <c r="H20" s="147">
        <f t="shared" si="8"/>
        <v>3369</v>
      </c>
      <c r="I20" s="147">
        <f t="shared" si="8"/>
        <v>7033</v>
      </c>
      <c r="J20" s="147">
        <f t="shared" si="8"/>
        <v>10652</v>
      </c>
      <c r="K20" s="147">
        <f t="shared" si="8"/>
        <v>2625</v>
      </c>
      <c r="L20" s="147">
        <f t="shared" si="8"/>
        <v>2592</v>
      </c>
      <c r="M20" s="147">
        <f t="shared" si="8"/>
        <v>179</v>
      </c>
      <c r="N20" s="147">
        <f t="shared" si="8"/>
        <v>1012</v>
      </c>
      <c r="O20" s="147">
        <f t="shared" si="8"/>
        <v>3648</v>
      </c>
      <c r="P20" s="147">
        <f t="shared" si="8"/>
        <v>4858</v>
      </c>
      <c r="Q20" s="147">
        <f t="shared" si="8"/>
        <v>1076</v>
      </c>
      <c r="R20" s="147">
        <f t="shared" si="8"/>
        <v>6338</v>
      </c>
      <c r="S20" s="147">
        <f t="shared" si="8"/>
        <v>554</v>
      </c>
      <c r="T20" s="147">
        <f t="shared" si="8"/>
        <v>552</v>
      </c>
      <c r="U20" s="157">
        <f>+U18+U19</f>
        <v>55886</v>
      </c>
      <c r="V20" s="158"/>
      <c r="W20" s="155"/>
      <c r="X20" s="155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</row>
    <row r="21" spans="1:38" ht="24">
      <c r="A21" s="146" t="s">
        <v>117</v>
      </c>
      <c r="B21" s="169"/>
      <c r="C21" s="170"/>
      <c r="D21" s="170"/>
      <c r="E21" s="170"/>
      <c r="F21" s="169"/>
      <c r="G21" s="169"/>
      <c r="H21" s="171"/>
      <c r="I21" s="169"/>
      <c r="J21" s="172"/>
      <c r="K21" s="170"/>
      <c r="L21" s="172"/>
      <c r="M21" s="172"/>
      <c r="N21" s="170"/>
      <c r="O21" s="169"/>
      <c r="P21" s="172"/>
      <c r="Q21" s="170"/>
      <c r="R21" s="169"/>
      <c r="S21" s="169"/>
      <c r="T21" s="169"/>
      <c r="U21" s="149"/>
      <c r="V21" s="171"/>
      <c r="W21" s="171"/>
      <c r="X21" s="171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</row>
    <row r="22" spans="1:38" ht="12">
      <c r="A22" s="152" t="s">
        <v>105</v>
      </c>
      <c r="B22" s="147">
        <f aca="true" t="shared" si="9" ref="B22:T22">+B47+B72</f>
        <v>155</v>
      </c>
      <c r="C22" s="147">
        <f t="shared" si="9"/>
        <v>0</v>
      </c>
      <c r="D22" s="147">
        <f t="shared" si="9"/>
        <v>82</v>
      </c>
      <c r="E22" s="147">
        <f t="shared" si="9"/>
        <v>179</v>
      </c>
      <c r="F22" s="147">
        <f t="shared" si="9"/>
        <v>1226</v>
      </c>
      <c r="G22" s="147">
        <f t="shared" si="9"/>
        <v>41</v>
      </c>
      <c r="H22" s="147">
        <f t="shared" si="9"/>
        <v>3643</v>
      </c>
      <c r="I22" s="147">
        <f t="shared" si="9"/>
        <v>1754</v>
      </c>
      <c r="J22" s="147">
        <f t="shared" si="9"/>
        <v>2181</v>
      </c>
      <c r="K22" s="147">
        <f t="shared" si="9"/>
        <v>375</v>
      </c>
      <c r="L22" s="147">
        <f t="shared" si="9"/>
        <v>49</v>
      </c>
      <c r="M22" s="147">
        <f t="shared" si="9"/>
        <v>46</v>
      </c>
      <c r="N22" s="147">
        <f t="shared" si="9"/>
        <v>591</v>
      </c>
      <c r="O22" s="147">
        <f t="shared" si="9"/>
        <v>395</v>
      </c>
      <c r="P22" s="147">
        <f t="shared" si="9"/>
        <v>899</v>
      </c>
      <c r="Q22" s="147">
        <f t="shared" si="9"/>
        <v>65</v>
      </c>
      <c r="R22" s="147">
        <f t="shared" si="9"/>
        <v>1106</v>
      </c>
      <c r="S22" s="147">
        <f t="shared" si="9"/>
        <v>148</v>
      </c>
      <c r="T22" s="147">
        <f t="shared" si="9"/>
        <v>158</v>
      </c>
      <c r="U22" s="149">
        <f>SUM(B22:T22)</f>
        <v>13093</v>
      </c>
      <c r="V22" s="150"/>
      <c r="W22" s="150"/>
      <c r="X22" s="150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</row>
    <row r="23" spans="1:38" ht="12">
      <c r="A23" s="152" t="s">
        <v>115</v>
      </c>
      <c r="B23" s="147">
        <f aca="true" t="shared" si="10" ref="B23:T23">+B48+B73</f>
        <v>16</v>
      </c>
      <c r="C23" s="147">
        <f t="shared" si="10"/>
        <v>0</v>
      </c>
      <c r="D23" s="147">
        <f t="shared" si="10"/>
        <v>4</v>
      </c>
      <c r="E23" s="147">
        <f t="shared" si="10"/>
        <v>20</v>
      </c>
      <c r="F23" s="147">
        <f t="shared" si="10"/>
        <v>303</v>
      </c>
      <c r="G23" s="147">
        <f t="shared" si="10"/>
        <v>9</v>
      </c>
      <c r="H23" s="147">
        <f t="shared" si="10"/>
        <v>142</v>
      </c>
      <c r="I23" s="147">
        <f t="shared" si="10"/>
        <v>543</v>
      </c>
      <c r="J23" s="147">
        <f t="shared" si="10"/>
        <v>438</v>
      </c>
      <c r="K23" s="147">
        <f t="shared" si="10"/>
        <v>27</v>
      </c>
      <c r="L23" s="147">
        <f t="shared" si="10"/>
        <v>5</v>
      </c>
      <c r="M23" s="147">
        <f t="shared" si="10"/>
        <v>7</v>
      </c>
      <c r="N23" s="147">
        <f t="shared" si="10"/>
        <v>71</v>
      </c>
      <c r="O23" s="147">
        <f t="shared" si="10"/>
        <v>95</v>
      </c>
      <c r="P23" s="147">
        <f t="shared" si="10"/>
        <v>162</v>
      </c>
      <c r="Q23" s="147">
        <f t="shared" si="10"/>
        <v>12</v>
      </c>
      <c r="R23" s="147">
        <f t="shared" si="10"/>
        <v>200</v>
      </c>
      <c r="S23" s="147">
        <f t="shared" si="10"/>
        <v>14</v>
      </c>
      <c r="T23" s="147">
        <f t="shared" si="10"/>
        <v>38</v>
      </c>
      <c r="U23" s="149">
        <f>SUM(B23:T23)</f>
        <v>2106</v>
      </c>
      <c r="V23" s="164"/>
      <c r="W23" s="160"/>
      <c r="X23" s="160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</row>
    <row r="24" spans="1:66" ht="12">
      <c r="A24" s="152" t="s">
        <v>107</v>
      </c>
      <c r="B24" s="147">
        <f aca="true" t="shared" si="11" ref="B24:T24">+B49+B74</f>
        <v>171</v>
      </c>
      <c r="C24" s="147">
        <f t="shared" si="11"/>
        <v>0</v>
      </c>
      <c r="D24" s="147">
        <f t="shared" si="11"/>
        <v>86</v>
      </c>
      <c r="E24" s="147">
        <f t="shared" si="11"/>
        <v>199</v>
      </c>
      <c r="F24" s="147">
        <f t="shared" si="11"/>
        <v>1529</v>
      </c>
      <c r="G24" s="147">
        <f t="shared" si="11"/>
        <v>50</v>
      </c>
      <c r="H24" s="147">
        <f t="shared" si="11"/>
        <v>3785</v>
      </c>
      <c r="I24" s="147">
        <f t="shared" si="11"/>
        <v>2297</v>
      </c>
      <c r="J24" s="147">
        <f t="shared" si="11"/>
        <v>2619</v>
      </c>
      <c r="K24" s="147">
        <f t="shared" si="11"/>
        <v>402</v>
      </c>
      <c r="L24" s="147">
        <f t="shared" si="11"/>
        <v>54</v>
      </c>
      <c r="M24" s="147">
        <f t="shared" si="11"/>
        <v>53</v>
      </c>
      <c r="N24" s="147">
        <f t="shared" si="11"/>
        <v>662</v>
      </c>
      <c r="O24" s="147">
        <f t="shared" si="11"/>
        <v>490</v>
      </c>
      <c r="P24" s="147">
        <f t="shared" si="11"/>
        <v>1061</v>
      </c>
      <c r="Q24" s="147">
        <f t="shared" si="11"/>
        <v>77</v>
      </c>
      <c r="R24" s="147">
        <f t="shared" si="11"/>
        <v>1306</v>
      </c>
      <c r="S24" s="147">
        <f t="shared" si="11"/>
        <v>162</v>
      </c>
      <c r="T24" s="147">
        <f t="shared" si="11"/>
        <v>196</v>
      </c>
      <c r="U24" s="157">
        <f>+U22+U23</f>
        <v>15199</v>
      </c>
      <c r="V24" s="158"/>
      <c r="W24" s="155"/>
      <c r="X24" s="155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</row>
    <row r="25" spans="1:38" ht="12">
      <c r="A25" s="146" t="s">
        <v>111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49"/>
      <c r="V25" s="163"/>
      <c r="W25" s="173"/>
      <c r="X25" s="173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</row>
    <row r="26" spans="1:38" ht="12">
      <c r="A26" s="152" t="s">
        <v>105</v>
      </c>
      <c r="B26" s="147">
        <f aca="true" t="shared" si="12" ref="B26:T26">+B51+B76</f>
        <v>0</v>
      </c>
      <c r="C26" s="147">
        <f t="shared" si="12"/>
        <v>461</v>
      </c>
      <c r="D26" s="147">
        <f t="shared" si="12"/>
        <v>0</v>
      </c>
      <c r="E26" s="147">
        <f t="shared" si="12"/>
        <v>0</v>
      </c>
      <c r="F26" s="147">
        <f t="shared" si="12"/>
        <v>0</v>
      </c>
      <c r="G26" s="147">
        <f t="shared" si="12"/>
        <v>1749</v>
      </c>
      <c r="H26" s="147">
        <f t="shared" si="12"/>
        <v>0</v>
      </c>
      <c r="I26" s="147">
        <f t="shared" si="12"/>
        <v>727</v>
      </c>
      <c r="J26" s="147">
        <f t="shared" si="12"/>
        <v>0</v>
      </c>
      <c r="K26" s="147">
        <f t="shared" si="12"/>
        <v>0</v>
      </c>
      <c r="L26" s="147">
        <f t="shared" si="12"/>
        <v>2228</v>
      </c>
      <c r="M26" s="147">
        <f t="shared" si="12"/>
        <v>749</v>
      </c>
      <c r="N26" s="147">
        <f t="shared" si="12"/>
        <v>0</v>
      </c>
      <c r="O26" s="147">
        <f t="shared" si="12"/>
        <v>0</v>
      </c>
      <c r="P26" s="147">
        <f t="shared" si="12"/>
        <v>0</v>
      </c>
      <c r="Q26" s="147">
        <f t="shared" si="12"/>
        <v>0</v>
      </c>
      <c r="R26" s="147">
        <f t="shared" si="12"/>
        <v>0</v>
      </c>
      <c r="S26" s="147">
        <f t="shared" si="12"/>
        <v>0</v>
      </c>
      <c r="T26" s="147">
        <f t="shared" si="12"/>
        <v>0</v>
      </c>
      <c r="U26" s="149">
        <f>SUM(B26:T26)</f>
        <v>5914</v>
      </c>
      <c r="V26" s="177"/>
      <c r="W26" s="159"/>
      <c r="X26" s="159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</row>
    <row r="27" spans="1:38" ht="12">
      <c r="A27" s="152" t="s">
        <v>115</v>
      </c>
      <c r="B27" s="147">
        <f aca="true" t="shared" si="13" ref="B27:T27">+B52+B77</f>
        <v>0</v>
      </c>
      <c r="C27" s="147">
        <f t="shared" si="13"/>
        <v>150</v>
      </c>
      <c r="D27" s="147">
        <f t="shared" si="13"/>
        <v>0</v>
      </c>
      <c r="E27" s="147">
        <f t="shared" si="13"/>
        <v>0</v>
      </c>
      <c r="F27" s="147">
        <f t="shared" si="13"/>
        <v>0</v>
      </c>
      <c r="G27" s="147">
        <f t="shared" si="13"/>
        <v>268</v>
      </c>
      <c r="H27" s="147">
        <f t="shared" si="13"/>
        <v>0</v>
      </c>
      <c r="I27" s="147">
        <f t="shared" si="13"/>
        <v>432</v>
      </c>
      <c r="J27" s="147">
        <f t="shared" si="13"/>
        <v>0</v>
      </c>
      <c r="K27" s="147">
        <f t="shared" si="13"/>
        <v>0</v>
      </c>
      <c r="L27" s="147">
        <f t="shared" si="13"/>
        <v>622</v>
      </c>
      <c r="M27" s="147">
        <f t="shared" si="13"/>
        <v>381</v>
      </c>
      <c r="N27" s="147">
        <f t="shared" si="13"/>
        <v>0</v>
      </c>
      <c r="O27" s="147">
        <f t="shared" si="13"/>
        <v>0</v>
      </c>
      <c r="P27" s="147">
        <f t="shared" si="13"/>
        <v>0</v>
      </c>
      <c r="Q27" s="147">
        <f t="shared" si="13"/>
        <v>0</v>
      </c>
      <c r="R27" s="147">
        <f t="shared" si="13"/>
        <v>0</v>
      </c>
      <c r="S27" s="147">
        <f t="shared" si="13"/>
        <v>0</v>
      </c>
      <c r="T27" s="147">
        <f t="shared" si="13"/>
        <v>0</v>
      </c>
      <c r="U27" s="149">
        <f>SUM(B27:T27)</f>
        <v>1853</v>
      </c>
      <c r="V27" s="150"/>
      <c r="W27" s="155"/>
      <c r="X27" s="155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</row>
    <row r="28" spans="1:66" ht="12">
      <c r="A28" s="152" t="s">
        <v>107</v>
      </c>
      <c r="B28" s="147">
        <f aca="true" t="shared" si="14" ref="B28:T28">+B53+B78</f>
        <v>0</v>
      </c>
      <c r="C28" s="147">
        <f t="shared" si="14"/>
        <v>611</v>
      </c>
      <c r="D28" s="147">
        <f t="shared" si="14"/>
        <v>0</v>
      </c>
      <c r="E28" s="147">
        <f t="shared" si="14"/>
        <v>0</v>
      </c>
      <c r="F28" s="147">
        <f t="shared" si="14"/>
        <v>0</v>
      </c>
      <c r="G28" s="147">
        <f t="shared" si="14"/>
        <v>2017</v>
      </c>
      <c r="H28" s="147">
        <f t="shared" si="14"/>
        <v>0</v>
      </c>
      <c r="I28" s="147">
        <f t="shared" si="14"/>
        <v>1159</v>
      </c>
      <c r="J28" s="147">
        <f t="shared" si="14"/>
        <v>0</v>
      </c>
      <c r="K28" s="147">
        <f t="shared" si="14"/>
        <v>0</v>
      </c>
      <c r="L28" s="147">
        <f t="shared" si="14"/>
        <v>2850</v>
      </c>
      <c r="M28" s="147">
        <f t="shared" si="14"/>
        <v>1130</v>
      </c>
      <c r="N28" s="147">
        <f t="shared" si="14"/>
        <v>0</v>
      </c>
      <c r="O28" s="147">
        <f t="shared" si="14"/>
        <v>0</v>
      </c>
      <c r="P28" s="147">
        <f t="shared" si="14"/>
        <v>0</v>
      </c>
      <c r="Q28" s="147">
        <f t="shared" si="14"/>
        <v>0</v>
      </c>
      <c r="R28" s="147">
        <f t="shared" si="14"/>
        <v>0</v>
      </c>
      <c r="S28" s="147">
        <f t="shared" si="14"/>
        <v>0</v>
      </c>
      <c r="T28" s="147">
        <f t="shared" si="14"/>
        <v>0</v>
      </c>
      <c r="U28" s="157">
        <f>+U26+U27</f>
        <v>7767</v>
      </c>
      <c r="V28" s="158"/>
      <c r="W28" s="155"/>
      <c r="X28" s="155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</row>
    <row r="29" spans="1:38" ht="12">
      <c r="A29" s="146" t="s">
        <v>112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9"/>
      <c r="V29" s="150"/>
      <c r="W29" s="155"/>
      <c r="X29" s="155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</row>
    <row r="30" spans="1:24" ht="12">
      <c r="A30" s="152" t="s">
        <v>105</v>
      </c>
      <c r="B30" s="180">
        <f aca="true" t="shared" si="15" ref="B30:U30">+B26+B22+B18+B14+B10</f>
        <v>996</v>
      </c>
      <c r="C30" s="180">
        <f t="shared" si="15"/>
        <v>559</v>
      </c>
      <c r="D30" s="180">
        <f t="shared" si="15"/>
        <v>310</v>
      </c>
      <c r="E30" s="180">
        <f t="shared" si="15"/>
        <v>745</v>
      </c>
      <c r="F30" s="180">
        <f t="shared" si="15"/>
        <v>6637</v>
      </c>
      <c r="G30" s="180">
        <f t="shared" si="15"/>
        <v>2064</v>
      </c>
      <c r="H30" s="180">
        <f t="shared" si="15"/>
        <v>5653</v>
      </c>
      <c r="I30" s="180">
        <f t="shared" si="15"/>
        <v>6912</v>
      </c>
      <c r="J30" s="180">
        <f t="shared" si="15"/>
        <v>9765</v>
      </c>
      <c r="K30" s="180">
        <f t="shared" si="15"/>
        <v>2259</v>
      </c>
      <c r="L30" s="180">
        <f t="shared" si="15"/>
        <v>4543</v>
      </c>
      <c r="M30" s="180">
        <f t="shared" si="15"/>
        <v>930</v>
      </c>
      <c r="N30" s="180">
        <f t="shared" si="15"/>
        <v>1379</v>
      </c>
      <c r="O30" s="180">
        <f t="shared" si="15"/>
        <v>4022</v>
      </c>
      <c r="P30" s="180">
        <f t="shared" si="15"/>
        <v>4160</v>
      </c>
      <c r="Q30" s="180">
        <f t="shared" si="15"/>
        <v>870</v>
      </c>
      <c r="R30" s="180">
        <f t="shared" si="15"/>
        <v>5561</v>
      </c>
      <c r="S30" s="180">
        <f t="shared" si="15"/>
        <v>570</v>
      </c>
      <c r="T30" s="180">
        <f t="shared" si="15"/>
        <v>654</v>
      </c>
      <c r="U30" s="180">
        <f t="shared" si="15"/>
        <v>58589</v>
      </c>
      <c r="V30" s="181"/>
      <c r="W30" s="182"/>
      <c r="X30" s="182"/>
    </row>
    <row r="31" spans="1:24" ht="12">
      <c r="A31" s="152" t="s">
        <v>115</v>
      </c>
      <c r="B31" s="180">
        <f aca="true" t="shared" si="16" ref="B31:U31">+B27+B23+B19+B15+B11</f>
        <v>553</v>
      </c>
      <c r="C31" s="180">
        <f t="shared" si="16"/>
        <v>150</v>
      </c>
      <c r="D31" s="180">
        <f t="shared" si="16"/>
        <v>85</v>
      </c>
      <c r="E31" s="180">
        <f t="shared" si="16"/>
        <v>808</v>
      </c>
      <c r="F31" s="180">
        <f t="shared" si="16"/>
        <v>4100</v>
      </c>
      <c r="G31" s="180">
        <f t="shared" si="16"/>
        <v>853</v>
      </c>
      <c r="H31" s="180">
        <f t="shared" si="16"/>
        <v>4015</v>
      </c>
      <c r="I31" s="180">
        <f t="shared" si="16"/>
        <v>5050</v>
      </c>
      <c r="J31" s="180">
        <f t="shared" si="16"/>
        <v>6279</v>
      </c>
      <c r="K31" s="180">
        <f t="shared" si="16"/>
        <v>1233</v>
      </c>
      <c r="L31" s="180">
        <f t="shared" si="16"/>
        <v>1193</v>
      </c>
      <c r="M31" s="180">
        <f t="shared" si="16"/>
        <v>538</v>
      </c>
      <c r="N31" s="180">
        <f t="shared" si="16"/>
        <v>528</v>
      </c>
      <c r="O31" s="180">
        <f t="shared" si="16"/>
        <v>1895</v>
      </c>
      <c r="P31" s="180">
        <f t="shared" si="16"/>
        <v>2429</v>
      </c>
      <c r="Q31" s="180">
        <f t="shared" si="16"/>
        <v>458</v>
      </c>
      <c r="R31" s="180">
        <f t="shared" si="16"/>
        <v>3213</v>
      </c>
      <c r="S31" s="180">
        <f t="shared" si="16"/>
        <v>209</v>
      </c>
      <c r="T31" s="180">
        <f t="shared" si="16"/>
        <v>127</v>
      </c>
      <c r="U31" s="180">
        <f t="shared" si="16"/>
        <v>33716</v>
      </c>
      <c r="V31" s="181"/>
      <c r="W31" s="182"/>
      <c r="X31" s="182"/>
    </row>
    <row r="32" spans="1:66" ht="12">
      <c r="A32" s="152" t="s">
        <v>107</v>
      </c>
      <c r="B32" s="157">
        <f aca="true" t="shared" si="17" ref="B32:U32">+B30+B31</f>
        <v>1549</v>
      </c>
      <c r="C32" s="157">
        <f t="shared" si="17"/>
        <v>709</v>
      </c>
      <c r="D32" s="157">
        <f t="shared" si="17"/>
        <v>395</v>
      </c>
      <c r="E32" s="157">
        <f t="shared" si="17"/>
        <v>1553</v>
      </c>
      <c r="F32" s="157">
        <f t="shared" si="17"/>
        <v>10737</v>
      </c>
      <c r="G32" s="157">
        <f t="shared" si="17"/>
        <v>2917</v>
      </c>
      <c r="H32" s="157">
        <f t="shared" si="17"/>
        <v>9668</v>
      </c>
      <c r="I32" s="157">
        <f t="shared" si="17"/>
        <v>11962</v>
      </c>
      <c r="J32" s="157">
        <f t="shared" si="17"/>
        <v>16044</v>
      </c>
      <c r="K32" s="157">
        <f t="shared" si="17"/>
        <v>3492</v>
      </c>
      <c r="L32" s="157">
        <f t="shared" si="17"/>
        <v>5736</v>
      </c>
      <c r="M32" s="157">
        <f t="shared" si="17"/>
        <v>1468</v>
      </c>
      <c r="N32" s="157">
        <f t="shared" si="17"/>
        <v>1907</v>
      </c>
      <c r="O32" s="157">
        <f t="shared" si="17"/>
        <v>5917</v>
      </c>
      <c r="P32" s="157">
        <f t="shared" si="17"/>
        <v>6589</v>
      </c>
      <c r="Q32" s="157">
        <f t="shared" si="17"/>
        <v>1328</v>
      </c>
      <c r="R32" s="157">
        <f t="shared" si="17"/>
        <v>8774</v>
      </c>
      <c r="S32" s="157">
        <f t="shared" si="17"/>
        <v>779</v>
      </c>
      <c r="T32" s="157">
        <f t="shared" si="17"/>
        <v>781</v>
      </c>
      <c r="U32" s="157">
        <f t="shared" si="17"/>
        <v>92305</v>
      </c>
      <c r="V32" s="158"/>
      <c r="W32" s="155"/>
      <c r="X32" s="155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</row>
    <row r="33" spans="2:22" s="136" customFormat="1" ht="12">
      <c r="B33" s="144"/>
      <c r="C33" s="144"/>
      <c r="E33" s="144"/>
      <c r="F33" s="144"/>
      <c r="G33" s="144"/>
      <c r="H33" s="144"/>
      <c r="I33" s="144"/>
      <c r="J33" s="144"/>
      <c r="K33" s="144" t="s">
        <v>114</v>
      </c>
      <c r="L33" s="144"/>
      <c r="M33" s="144"/>
      <c r="N33" s="144"/>
      <c r="O33" s="144"/>
      <c r="P33" s="207"/>
      <c r="Q33" s="144"/>
      <c r="R33" s="144"/>
      <c r="S33" s="144"/>
      <c r="T33" s="144"/>
      <c r="U33" s="144"/>
      <c r="V33" s="135"/>
    </row>
    <row r="34" spans="1:66" s="121" customFormat="1" ht="12">
      <c r="A34" s="146" t="s">
        <v>104</v>
      </c>
      <c r="B34" s="147"/>
      <c r="C34" s="147"/>
      <c r="D34" s="148"/>
      <c r="E34" s="148"/>
      <c r="F34" s="148"/>
      <c r="G34" s="148"/>
      <c r="H34" s="147"/>
      <c r="I34" s="148"/>
      <c r="J34" s="148"/>
      <c r="K34" s="147"/>
      <c r="L34" s="148"/>
      <c r="M34" s="148"/>
      <c r="N34" s="148"/>
      <c r="O34" s="148"/>
      <c r="P34" s="148"/>
      <c r="Q34" s="148"/>
      <c r="R34" s="147"/>
      <c r="S34" s="147"/>
      <c r="T34" s="147"/>
      <c r="U34" s="149"/>
      <c r="V34" s="150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</row>
    <row r="35" spans="1:66" ht="12">
      <c r="A35" s="152" t="s">
        <v>105</v>
      </c>
      <c r="B35" s="147"/>
      <c r="C35" s="153"/>
      <c r="D35" s="153"/>
      <c r="E35" s="153"/>
      <c r="F35" s="148"/>
      <c r="G35" s="154"/>
      <c r="H35" s="154"/>
      <c r="I35" s="148"/>
      <c r="J35" s="154"/>
      <c r="K35" s="154"/>
      <c r="L35" s="154"/>
      <c r="M35" s="154"/>
      <c r="N35" s="148"/>
      <c r="O35" s="148">
        <v>68</v>
      </c>
      <c r="P35" s="154"/>
      <c r="Q35" s="154"/>
      <c r="R35" s="147"/>
      <c r="S35" s="147"/>
      <c r="T35" s="154"/>
      <c r="U35" s="149">
        <f>SUM(B35:T35)</f>
        <v>68</v>
      </c>
      <c r="V35" s="150"/>
      <c r="W35" s="155"/>
      <c r="X35" s="155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</row>
    <row r="36" spans="1:66" ht="12">
      <c r="A36" s="152" t="s">
        <v>115</v>
      </c>
      <c r="B36" s="147">
        <v>119</v>
      </c>
      <c r="C36" s="153"/>
      <c r="D36" s="153">
        <v>24</v>
      </c>
      <c r="E36" s="153">
        <v>98</v>
      </c>
      <c r="F36" s="148">
        <f>241+59+93</f>
        <v>393</v>
      </c>
      <c r="G36" s="154">
        <v>147</v>
      </c>
      <c r="H36" s="148">
        <v>1101</v>
      </c>
      <c r="I36" s="148">
        <f>1165+19</f>
        <v>1184</v>
      </c>
      <c r="J36" s="148">
        <v>1171</v>
      </c>
      <c r="K36" s="154">
        <v>72</v>
      </c>
      <c r="L36" s="154">
        <v>139</v>
      </c>
      <c r="M36" s="154">
        <v>38</v>
      </c>
      <c r="N36" s="148">
        <v>52</v>
      </c>
      <c r="O36" s="154">
        <v>64</v>
      </c>
      <c r="P36" s="148">
        <v>366</v>
      </c>
      <c r="Q36" s="154">
        <v>88</v>
      </c>
      <c r="R36" s="147">
        <f>140+386</f>
        <v>526</v>
      </c>
      <c r="S36" s="147">
        <v>34</v>
      </c>
      <c r="T36" s="154">
        <v>7</v>
      </c>
      <c r="U36" s="149">
        <f>SUM(B36:T36)</f>
        <v>5623</v>
      </c>
      <c r="V36" s="150"/>
      <c r="W36" s="155"/>
      <c r="X36" s="155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</row>
    <row r="37" spans="1:66" ht="12">
      <c r="A37" s="152" t="s">
        <v>107</v>
      </c>
      <c r="B37" s="157">
        <f aca="true" t="shared" si="18" ref="B37:U37">+B35+B36</f>
        <v>119</v>
      </c>
      <c r="C37" s="157">
        <f t="shared" si="18"/>
        <v>0</v>
      </c>
      <c r="D37" s="157">
        <f t="shared" si="18"/>
        <v>24</v>
      </c>
      <c r="E37" s="157">
        <f t="shared" si="18"/>
        <v>98</v>
      </c>
      <c r="F37" s="157">
        <f t="shared" si="18"/>
        <v>393</v>
      </c>
      <c r="G37" s="157">
        <f t="shared" si="18"/>
        <v>147</v>
      </c>
      <c r="H37" s="157">
        <f t="shared" si="18"/>
        <v>1101</v>
      </c>
      <c r="I37" s="157">
        <f t="shared" si="18"/>
        <v>1184</v>
      </c>
      <c r="J37" s="157">
        <f t="shared" si="18"/>
        <v>1171</v>
      </c>
      <c r="K37" s="157">
        <f t="shared" si="18"/>
        <v>72</v>
      </c>
      <c r="L37" s="157">
        <f t="shared" si="18"/>
        <v>139</v>
      </c>
      <c r="M37" s="157">
        <f t="shared" si="18"/>
        <v>38</v>
      </c>
      <c r="N37" s="157">
        <f t="shared" si="18"/>
        <v>52</v>
      </c>
      <c r="O37" s="157">
        <f t="shared" si="18"/>
        <v>132</v>
      </c>
      <c r="P37" s="157">
        <f t="shared" si="18"/>
        <v>366</v>
      </c>
      <c r="Q37" s="157">
        <f t="shared" si="18"/>
        <v>88</v>
      </c>
      <c r="R37" s="157">
        <f t="shared" si="18"/>
        <v>526</v>
      </c>
      <c r="S37" s="157">
        <f t="shared" si="18"/>
        <v>34</v>
      </c>
      <c r="T37" s="157">
        <f t="shared" si="18"/>
        <v>7</v>
      </c>
      <c r="U37" s="157">
        <f t="shared" si="18"/>
        <v>5691</v>
      </c>
      <c r="V37" s="158"/>
      <c r="W37" s="155"/>
      <c r="X37" s="155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</row>
    <row r="38" spans="1:66" ht="12">
      <c r="A38" s="146" t="s">
        <v>108</v>
      </c>
      <c r="B38" s="147"/>
      <c r="C38" s="148"/>
      <c r="D38" s="148"/>
      <c r="E38" s="148"/>
      <c r="F38" s="148"/>
      <c r="G38" s="148"/>
      <c r="H38" s="147"/>
      <c r="I38" s="148"/>
      <c r="J38" s="148"/>
      <c r="K38" s="147"/>
      <c r="L38" s="148"/>
      <c r="M38" s="148"/>
      <c r="N38" s="148"/>
      <c r="O38" s="148"/>
      <c r="P38" s="148"/>
      <c r="Q38" s="148"/>
      <c r="R38" s="147"/>
      <c r="S38" s="147"/>
      <c r="T38" s="147"/>
      <c r="U38" s="149"/>
      <c r="V38" s="158"/>
      <c r="W38" s="155"/>
      <c r="X38" s="155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</row>
    <row r="39" spans="1:66" ht="12">
      <c r="A39" s="152" t="s">
        <v>105</v>
      </c>
      <c r="B39" s="147"/>
      <c r="C39" s="153"/>
      <c r="D39" s="153"/>
      <c r="E39" s="153"/>
      <c r="F39" s="148"/>
      <c r="G39" s="148"/>
      <c r="H39" s="147"/>
      <c r="I39" s="148"/>
      <c r="J39" s="148"/>
      <c r="K39" s="147"/>
      <c r="L39" s="148"/>
      <c r="M39" s="148"/>
      <c r="N39" s="148"/>
      <c r="O39" s="154"/>
      <c r="P39" s="148"/>
      <c r="Q39" s="148"/>
      <c r="R39" s="147"/>
      <c r="S39" s="147"/>
      <c r="T39" s="147"/>
      <c r="U39" s="149">
        <f>SUM(B39:T39)</f>
        <v>0</v>
      </c>
      <c r="V39" s="158"/>
      <c r="W39" s="155"/>
      <c r="X39" s="155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</row>
    <row r="40" spans="1:66" s="162" customFormat="1" ht="12">
      <c r="A40" s="152" t="s">
        <v>115</v>
      </c>
      <c r="B40" s="159">
        <v>1</v>
      </c>
      <c r="C40" s="153"/>
      <c r="D40" s="153"/>
      <c r="E40" s="153">
        <v>3</v>
      </c>
      <c r="F40" s="159">
        <v>6</v>
      </c>
      <c r="G40" s="159"/>
      <c r="H40" s="159">
        <v>2</v>
      </c>
      <c r="I40" s="159">
        <v>21</v>
      </c>
      <c r="J40" s="159"/>
      <c r="K40" s="159"/>
      <c r="L40" s="159">
        <v>1</v>
      </c>
      <c r="M40" s="159">
        <v>1</v>
      </c>
      <c r="N40" s="159"/>
      <c r="O40" s="154"/>
      <c r="P40" s="159"/>
      <c r="Q40" s="159"/>
      <c r="R40" s="159"/>
      <c r="S40" s="159">
        <v>2</v>
      </c>
      <c r="T40" s="160"/>
      <c r="U40" s="149">
        <f>SUM(B40:T40)</f>
        <v>37</v>
      </c>
      <c r="V40" s="160"/>
      <c r="W40" s="155"/>
      <c r="X40" s="155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</row>
    <row r="41" spans="1:66" ht="12">
      <c r="A41" s="152" t="s">
        <v>107</v>
      </c>
      <c r="B41" s="157">
        <f aca="true" t="shared" si="19" ref="B41:U41">+B39+B40</f>
        <v>1</v>
      </c>
      <c r="C41" s="157">
        <f t="shared" si="19"/>
        <v>0</v>
      </c>
      <c r="D41" s="157">
        <f t="shared" si="19"/>
        <v>0</v>
      </c>
      <c r="E41" s="157">
        <f t="shared" si="19"/>
        <v>3</v>
      </c>
      <c r="F41" s="157">
        <f t="shared" si="19"/>
        <v>6</v>
      </c>
      <c r="G41" s="157">
        <f t="shared" si="19"/>
        <v>0</v>
      </c>
      <c r="H41" s="157">
        <f t="shared" si="19"/>
        <v>2</v>
      </c>
      <c r="I41" s="157">
        <f t="shared" si="19"/>
        <v>21</v>
      </c>
      <c r="J41" s="157">
        <f t="shared" si="19"/>
        <v>0</v>
      </c>
      <c r="K41" s="157">
        <f t="shared" si="19"/>
        <v>0</v>
      </c>
      <c r="L41" s="157">
        <f t="shared" si="19"/>
        <v>1</v>
      </c>
      <c r="M41" s="157">
        <f t="shared" si="19"/>
        <v>1</v>
      </c>
      <c r="N41" s="157">
        <f t="shared" si="19"/>
        <v>0</v>
      </c>
      <c r="O41" s="157">
        <f t="shared" si="19"/>
        <v>0</v>
      </c>
      <c r="P41" s="157">
        <f t="shared" si="19"/>
        <v>0</v>
      </c>
      <c r="Q41" s="157">
        <f t="shared" si="19"/>
        <v>0</v>
      </c>
      <c r="R41" s="157">
        <f t="shared" si="19"/>
        <v>0</v>
      </c>
      <c r="S41" s="157">
        <f t="shared" si="19"/>
        <v>2</v>
      </c>
      <c r="T41" s="157">
        <f t="shared" si="19"/>
        <v>0</v>
      </c>
      <c r="U41" s="157">
        <f t="shared" si="19"/>
        <v>37</v>
      </c>
      <c r="V41" s="158"/>
      <c r="W41" s="155"/>
      <c r="X41" s="155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</row>
    <row r="42" spans="1:66" s="166" customFormat="1" ht="12">
      <c r="A42" s="146" t="s">
        <v>109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48"/>
      <c r="S42" s="163"/>
      <c r="T42" s="163"/>
      <c r="U42" s="149"/>
      <c r="V42" s="164"/>
      <c r="W42" s="155"/>
      <c r="X42" s="15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</row>
    <row r="43" spans="1:66" ht="13.5" customHeight="1">
      <c r="A43" s="152" t="s">
        <v>105</v>
      </c>
      <c r="B43" s="153">
        <v>548</v>
      </c>
      <c r="C43" s="153">
        <v>59</v>
      </c>
      <c r="D43" s="153">
        <v>143</v>
      </c>
      <c r="E43" s="153">
        <v>190</v>
      </c>
      <c r="F43" s="148">
        <v>2715</v>
      </c>
      <c r="G43" s="154">
        <v>87</v>
      </c>
      <c r="H43" s="154">
        <v>822</v>
      </c>
      <c r="I43" s="148">
        <f>748+2635</f>
        <v>3383</v>
      </c>
      <c r="J43" s="148">
        <v>2924</v>
      </c>
      <c r="K43" s="148">
        <v>384</v>
      </c>
      <c r="L43" s="148">
        <v>751</v>
      </c>
      <c r="M43" s="154">
        <v>73</v>
      </c>
      <c r="N43" s="154">
        <v>188</v>
      </c>
      <c r="O43" s="148">
        <v>331</v>
      </c>
      <c r="P43" s="148">
        <v>1888</v>
      </c>
      <c r="Q43" s="154">
        <v>512</v>
      </c>
      <c r="R43" s="148">
        <f>1307+453</f>
        <v>1760</v>
      </c>
      <c r="S43" s="154">
        <v>261</v>
      </c>
      <c r="T43" s="154">
        <v>62</v>
      </c>
      <c r="U43" s="149">
        <f>SUM(B43:T43)</f>
        <v>17081</v>
      </c>
      <c r="V43" s="167"/>
      <c r="W43" s="168"/>
      <c r="X43" s="168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</row>
    <row r="44" spans="1:38" ht="12">
      <c r="A44" s="152" t="s">
        <v>115</v>
      </c>
      <c r="B44" s="153">
        <v>238</v>
      </c>
      <c r="C44" s="153"/>
      <c r="D44" s="153">
        <v>36</v>
      </c>
      <c r="E44" s="153">
        <v>118</v>
      </c>
      <c r="F44" s="148">
        <f>1190+195+417</f>
        <v>1802</v>
      </c>
      <c r="G44" s="154">
        <v>37</v>
      </c>
      <c r="H44" s="154">
        <v>624</v>
      </c>
      <c r="I44" s="148">
        <f>1753+437</f>
        <v>2190</v>
      </c>
      <c r="J44" s="148">
        <v>1254</v>
      </c>
      <c r="K44" s="154">
        <v>133</v>
      </c>
      <c r="L44" s="154">
        <v>128</v>
      </c>
      <c r="M44" s="154">
        <v>28</v>
      </c>
      <c r="N44" s="154">
        <v>56</v>
      </c>
      <c r="O44" s="148">
        <v>164</v>
      </c>
      <c r="P44" s="148">
        <v>1027</v>
      </c>
      <c r="Q44" s="154">
        <v>175</v>
      </c>
      <c r="R44" s="148">
        <f>647+167</f>
        <v>814</v>
      </c>
      <c r="S44" s="154">
        <v>86</v>
      </c>
      <c r="T44" s="154">
        <v>11</v>
      </c>
      <c r="U44" s="149">
        <f>SUM(B44:T44)</f>
        <v>8921</v>
      </c>
      <c r="V44" s="167"/>
      <c r="W44" s="168"/>
      <c r="X44" s="168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</row>
    <row r="45" spans="1:66" ht="12">
      <c r="A45" s="152" t="s">
        <v>107</v>
      </c>
      <c r="B45" s="157">
        <f aca="true" t="shared" si="20" ref="B45:U45">+B43+B44</f>
        <v>786</v>
      </c>
      <c r="C45" s="157">
        <f t="shared" si="20"/>
        <v>59</v>
      </c>
      <c r="D45" s="157">
        <f t="shared" si="20"/>
        <v>179</v>
      </c>
      <c r="E45" s="157">
        <f t="shared" si="20"/>
        <v>308</v>
      </c>
      <c r="F45" s="157">
        <f t="shared" si="20"/>
        <v>4517</v>
      </c>
      <c r="G45" s="157">
        <f t="shared" si="20"/>
        <v>124</v>
      </c>
      <c r="H45" s="157">
        <f t="shared" si="20"/>
        <v>1446</v>
      </c>
      <c r="I45" s="157">
        <f t="shared" si="20"/>
        <v>5573</v>
      </c>
      <c r="J45" s="157">
        <f t="shared" si="20"/>
        <v>4178</v>
      </c>
      <c r="K45" s="157">
        <f t="shared" si="20"/>
        <v>517</v>
      </c>
      <c r="L45" s="157">
        <f t="shared" si="20"/>
        <v>879</v>
      </c>
      <c r="M45" s="157">
        <f t="shared" si="20"/>
        <v>101</v>
      </c>
      <c r="N45" s="157">
        <f t="shared" si="20"/>
        <v>244</v>
      </c>
      <c r="O45" s="157">
        <f t="shared" si="20"/>
        <v>495</v>
      </c>
      <c r="P45" s="157">
        <f t="shared" si="20"/>
        <v>2915</v>
      </c>
      <c r="Q45" s="157">
        <f t="shared" si="20"/>
        <v>687</v>
      </c>
      <c r="R45" s="157">
        <f t="shared" si="20"/>
        <v>2574</v>
      </c>
      <c r="S45" s="157">
        <f t="shared" si="20"/>
        <v>347</v>
      </c>
      <c r="T45" s="157">
        <f t="shared" si="20"/>
        <v>73</v>
      </c>
      <c r="U45" s="157">
        <f t="shared" si="20"/>
        <v>26002</v>
      </c>
      <c r="V45" s="158"/>
      <c r="W45" s="155"/>
      <c r="X45" s="155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</row>
    <row r="46" spans="1:38" ht="24">
      <c r="A46" s="146" t="s">
        <v>117</v>
      </c>
      <c r="B46" s="169"/>
      <c r="C46" s="170"/>
      <c r="D46" s="170"/>
      <c r="E46" s="170"/>
      <c r="F46" s="169"/>
      <c r="G46" s="169"/>
      <c r="H46" s="171"/>
      <c r="I46" s="169"/>
      <c r="J46" s="172"/>
      <c r="K46" s="170"/>
      <c r="L46" s="172"/>
      <c r="M46" s="172"/>
      <c r="N46" s="170"/>
      <c r="O46" s="169"/>
      <c r="P46" s="172"/>
      <c r="Q46" s="170"/>
      <c r="R46" s="169"/>
      <c r="S46" s="169"/>
      <c r="T46" s="169"/>
      <c r="U46" s="149"/>
      <c r="V46" s="171"/>
      <c r="W46" s="171"/>
      <c r="X46" s="171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</row>
    <row r="47" spans="1:38" ht="12">
      <c r="A47" s="152" t="s">
        <v>105</v>
      </c>
      <c r="B47" s="153">
        <v>86</v>
      </c>
      <c r="C47" s="170"/>
      <c r="D47" s="153">
        <v>53</v>
      </c>
      <c r="E47" s="153">
        <v>50</v>
      </c>
      <c r="F47" s="150">
        <v>578</v>
      </c>
      <c r="G47" s="154">
        <v>14</v>
      </c>
      <c r="H47" s="154">
        <f>1079+325</f>
        <v>1404</v>
      </c>
      <c r="I47" s="150">
        <f>1073+273</f>
        <v>1346</v>
      </c>
      <c r="J47" s="148">
        <v>711</v>
      </c>
      <c r="K47" s="154">
        <v>35</v>
      </c>
      <c r="L47" s="154">
        <v>6</v>
      </c>
      <c r="M47" s="154">
        <v>26</v>
      </c>
      <c r="N47" s="154">
        <v>94</v>
      </c>
      <c r="O47" s="154">
        <v>48</v>
      </c>
      <c r="P47" s="154">
        <v>479</v>
      </c>
      <c r="Q47" s="154">
        <v>29</v>
      </c>
      <c r="R47" s="150">
        <f>247+148</f>
        <v>395</v>
      </c>
      <c r="S47" s="154">
        <v>80</v>
      </c>
      <c r="T47" s="150">
        <v>24</v>
      </c>
      <c r="U47" s="149">
        <f>SUM(B47:T47)</f>
        <v>5458</v>
      </c>
      <c r="V47" s="150"/>
      <c r="W47" s="150"/>
      <c r="X47" s="150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</row>
    <row r="48" spans="1:38" ht="12">
      <c r="A48" s="152" t="s">
        <v>115</v>
      </c>
      <c r="B48" s="153">
        <v>10</v>
      </c>
      <c r="C48" s="160"/>
      <c r="D48" s="153">
        <v>3</v>
      </c>
      <c r="E48" s="153">
        <v>9</v>
      </c>
      <c r="F48" s="159">
        <f>119+40</f>
        <v>159</v>
      </c>
      <c r="G48" s="154">
        <v>5</v>
      </c>
      <c r="H48" s="154">
        <v>42</v>
      </c>
      <c r="I48" s="159">
        <f>66+396</f>
        <v>462</v>
      </c>
      <c r="J48" s="154">
        <v>146</v>
      </c>
      <c r="K48" s="154">
        <v>3</v>
      </c>
      <c r="L48" s="160">
        <v>0</v>
      </c>
      <c r="M48" s="154">
        <v>5</v>
      </c>
      <c r="N48" s="154">
        <v>19</v>
      </c>
      <c r="O48" s="154">
        <v>7</v>
      </c>
      <c r="P48" s="154">
        <v>109</v>
      </c>
      <c r="Q48" s="154">
        <v>7</v>
      </c>
      <c r="R48" s="159">
        <f>27+38</f>
        <v>65</v>
      </c>
      <c r="S48" s="154">
        <v>8</v>
      </c>
      <c r="T48" s="159">
        <v>3</v>
      </c>
      <c r="U48" s="149">
        <f>SUM(B48:T48)</f>
        <v>1062</v>
      </c>
      <c r="V48" s="164"/>
      <c r="W48" s="160"/>
      <c r="X48" s="160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</row>
    <row r="49" spans="1:66" ht="12">
      <c r="A49" s="152" t="s">
        <v>107</v>
      </c>
      <c r="B49" s="157">
        <f aca="true" t="shared" si="21" ref="B49:U49">+B47+B48</f>
        <v>96</v>
      </c>
      <c r="C49" s="157">
        <f t="shared" si="21"/>
        <v>0</v>
      </c>
      <c r="D49" s="157">
        <f t="shared" si="21"/>
        <v>56</v>
      </c>
      <c r="E49" s="157">
        <f t="shared" si="21"/>
        <v>59</v>
      </c>
      <c r="F49" s="157">
        <f t="shared" si="21"/>
        <v>737</v>
      </c>
      <c r="G49" s="157">
        <f t="shared" si="21"/>
        <v>19</v>
      </c>
      <c r="H49" s="157">
        <f t="shared" si="21"/>
        <v>1446</v>
      </c>
      <c r="I49" s="157">
        <f t="shared" si="21"/>
        <v>1808</v>
      </c>
      <c r="J49" s="157">
        <f t="shared" si="21"/>
        <v>857</v>
      </c>
      <c r="K49" s="157">
        <f t="shared" si="21"/>
        <v>38</v>
      </c>
      <c r="L49" s="157">
        <f t="shared" si="21"/>
        <v>6</v>
      </c>
      <c r="M49" s="157">
        <f t="shared" si="21"/>
        <v>31</v>
      </c>
      <c r="N49" s="157">
        <f t="shared" si="21"/>
        <v>113</v>
      </c>
      <c r="O49" s="157">
        <f t="shared" si="21"/>
        <v>55</v>
      </c>
      <c r="P49" s="157">
        <f t="shared" si="21"/>
        <v>588</v>
      </c>
      <c r="Q49" s="157">
        <f t="shared" si="21"/>
        <v>36</v>
      </c>
      <c r="R49" s="157">
        <f t="shared" si="21"/>
        <v>460</v>
      </c>
      <c r="S49" s="157">
        <f t="shared" si="21"/>
        <v>88</v>
      </c>
      <c r="T49" s="157">
        <f t="shared" si="21"/>
        <v>27</v>
      </c>
      <c r="U49" s="157">
        <f t="shared" si="21"/>
        <v>6520</v>
      </c>
      <c r="V49" s="158"/>
      <c r="W49" s="155"/>
      <c r="X49" s="155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</row>
    <row r="50" spans="1:38" ht="12">
      <c r="A50" s="146" t="s">
        <v>111</v>
      </c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49"/>
      <c r="V50" s="163"/>
      <c r="W50" s="173"/>
      <c r="X50" s="173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</row>
    <row r="51" spans="1:38" ht="12">
      <c r="A51" s="152" t="s">
        <v>105</v>
      </c>
      <c r="B51" s="178"/>
      <c r="C51" s="153">
        <v>216</v>
      </c>
      <c r="D51" s="156"/>
      <c r="E51" s="156"/>
      <c r="F51" s="174"/>
      <c r="G51" s="148">
        <v>517</v>
      </c>
      <c r="H51" s="175"/>
      <c r="I51" s="154">
        <v>358</v>
      </c>
      <c r="J51" s="174"/>
      <c r="K51" s="176"/>
      <c r="L51" s="148">
        <v>948</v>
      </c>
      <c r="M51" s="154">
        <v>227</v>
      </c>
      <c r="N51" s="176"/>
      <c r="O51" s="174"/>
      <c r="P51" s="174"/>
      <c r="Q51" s="176"/>
      <c r="R51" s="175"/>
      <c r="S51" s="174"/>
      <c r="T51" s="174"/>
      <c r="U51" s="149">
        <f>SUM(B51:T51)</f>
        <v>2266</v>
      </c>
      <c r="V51" s="177"/>
      <c r="W51" s="159"/>
      <c r="X51" s="159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</row>
    <row r="52" spans="1:38" ht="12">
      <c r="A52" s="152" t="s">
        <v>115</v>
      </c>
      <c r="B52" s="178"/>
      <c r="C52" s="153">
        <v>66</v>
      </c>
      <c r="D52" s="156"/>
      <c r="E52" s="156"/>
      <c r="F52" s="178"/>
      <c r="G52" s="154">
        <v>82</v>
      </c>
      <c r="H52" s="178"/>
      <c r="I52" s="178">
        <v>242</v>
      </c>
      <c r="J52" s="178"/>
      <c r="K52" s="178"/>
      <c r="L52" s="154">
        <v>263</v>
      </c>
      <c r="M52" s="154">
        <v>118</v>
      </c>
      <c r="N52" s="178"/>
      <c r="O52" s="178"/>
      <c r="P52" s="178"/>
      <c r="Q52" s="178"/>
      <c r="R52" s="178"/>
      <c r="S52" s="178"/>
      <c r="T52" s="178"/>
      <c r="U52" s="149">
        <f>SUM(B52:T52)</f>
        <v>771</v>
      </c>
      <c r="V52" s="150"/>
      <c r="W52" s="155"/>
      <c r="X52" s="155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</row>
    <row r="53" spans="1:66" ht="12">
      <c r="A53" s="152" t="s">
        <v>107</v>
      </c>
      <c r="B53" s="157">
        <f aca="true" t="shared" si="22" ref="B53:U53">+B51+B52</f>
        <v>0</v>
      </c>
      <c r="C53" s="157">
        <f t="shared" si="22"/>
        <v>282</v>
      </c>
      <c r="D53" s="157">
        <f t="shared" si="22"/>
        <v>0</v>
      </c>
      <c r="E53" s="157">
        <f t="shared" si="22"/>
        <v>0</v>
      </c>
      <c r="F53" s="157">
        <f t="shared" si="22"/>
        <v>0</v>
      </c>
      <c r="G53" s="157">
        <f t="shared" si="22"/>
        <v>599</v>
      </c>
      <c r="H53" s="157">
        <f t="shared" si="22"/>
        <v>0</v>
      </c>
      <c r="I53" s="157">
        <f t="shared" si="22"/>
        <v>600</v>
      </c>
      <c r="J53" s="157">
        <f t="shared" si="22"/>
        <v>0</v>
      </c>
      <c r="K53" s="157">
        <f t="shared" si="22"/>
        <v>0</v>
      </c>
      <c r="L53" s="157">
        <f t="shared" si="22"/>
        <v>1211</v>
      </c>
      <c r="M53" s="157">
        <f t="shared" si="22"/>
        <v>345</v>
      </c>
      <c r="N53" s="157">
        <f t="shared" si="22"/>
        <v>0</v>
      </c>
      <c r="O53" s="157">
        <f t="shared" si="22"/>
        <v>0</v>
      </c>
      <c r="P53" s="157">
        <f t="shared" si="22"/>
        <v>0</v>
      </c>
      <c r="Q53" s="157">
        <f t="shared" si="22"/>
        <v>0</v>
      </c>
      <c r="R53" s="157">
        <f t="shared" si="22"/>
        <v>0</v>
      </c>
      <c r="S53" s="157">
        <f t="shared" si="22"/>
        <v>0</v>
      </c>
      <c r="T53" s="157">
        <f t="shared" si="22"/>
        <v>0</v>
      </c>
      <c r="U53" s="157">
        <f t="shared" si="22"/>
        <v>3037</v>
      </c>
      <c r="V53" s="158"/>
      <c r="W53" s="155"/>
      <c r="X53" s="155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</row>
    <row r="54" spans="1:38" ht="12">
      <c r="A54" s="146" t="s">
        <v>112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9"/>
      <c r="V54" s="150"/>
      <c r="W54" s="155"/>
      <c r="X54" s="155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</row>
    <row r="55" spans="1:24" ht="12">
      <c r="A55" s="152" t="s">
        <v>105</v>
      </c>
      <c r="B55" s="180">
        <f aca="true" t="shared" si="23" ref="B55:U55">+B51+B47+B43+B39+B35</f>
        <v>634</v>
      </c>
      <c r="C55" s="180">
        <f t="shared" si="23"/>
        <v>275</v>
      </c>
      <c r="D55" s="180">
        <f t="shared" si="23"/>
        <v>196</v>
      </c>
      <c r="E55" s="180">
        <f t="shared" si="23"/>
        <v>240</v>
      </c>
      <c r="F55" s="180">
        <f t="shared" si="23"/>
        <v>3293</v>
      </c>
      <c r="G55" s="180">
        <f t="shared" si="23"/>
        <v>618</v>
      </c>
      <c r="H55" s="180">
        <f t="shared" si="23"/>
        <v>2226</v>
      </c>
      <c r="I55" s="180">
        <f t="shared" si="23"/>
        <v>5087</v>
      </c>
      <c r="J55" s="180">
        <f t="shared" si="23"/>
        <v>3635</v>
      </c>
      <c r="K55" s="180">
        <f t="shared" si="23"/>
        <v>419</v>
      </c>
      <c r="L55" s="180">
        <f t="shared" si="23"/>
        <v>1705</v>
      </c>
      <c r="M55" s="180">
        <f t="shared" si="23"/>
        <v>326</v>
      </c>
      <c r="N55" s="180">
        <f t="shared" si="23"/>
        <v>282</v>
      </c>
      <c r="O55" s="180">
        <f t="shared" si="23"/>
        <v>447</v>
      </c>
      <c r="P55" s="180">
        <f t="shared" si="23"/>
        <v>2367</v>
      </c>
      <c r="Q55" s="180">
        <f t="shared" si="23"/>
        <v>541</v>
      </c>
      <c r="R55" s="180">
        <f t="shared" si="23"/>
        <v>2155</v>
      </c>
      <c r="S55" s="180">
        <f t="shared" si="23"/>
        <v>341</v>
      </c>
      <c r="T55" s="180">
        <f t="shared" si="23"/>
        <v>86</v>
      </c>
      <c r="U55" s="180">
        <f t="shared" si="23"/>
        <v>24873</v>
      </c>
      <c r="V55" s="181"/>
      <c r="W55" s="182"/>
      <c r="X55" s="182"/>
    </row>
    <row r="56" spans="1:24" ht="12">
      <c r="A56" s="152" t="s">
        <v>115</v>
      </c>
      <c r="B56" s="180">
        <f aca="true" t="shared" si="24" ref="B56:U56">+B52+B48+B44+B40+B36</f>
        <v>368</v>
      </c>
      <c r="C56" s="180">
        <f t="shared" si="24"/>
        <v>66</v>
      </c>
      <c r="D56" s="180">
        <f t="shared" si="24"/>
        <v>63</v>
      </c>
      <c r="E56" s="180">
        <f t="shared" si="24"/>
        <v>228</v>
      </c>
      <c r="F56" s="180">
        <f t="shared" si="24"/>
        <v>2360</v>
      </c>
      <c r="G56" s="180">
        <f t="shared" si="24"/>
        <v>271</v>
      </c>
      <c r="H56" s="180">
        <f t="shared" si="24"/>
        <v>1769</v>
      </c>
      <c r="I56" s="180">
        <f t="shared" si="24"/>
        <v>4099</v>
      </c>
      <c r="J56" s="180">
        <f t="shared" si="24"/>
        <v>2571</v>
      </c>
      <c r="K56" s="180">
        <f t="shared" si="24"/>
        <v>208</v>
      </c>
      <c r="L56" s="180">
        <f t="shared" si="24"/>
        <v>531</v>
      </c>
      <c r="M56" s="180">
        <f t="shared" si="24"/>
        <v>190</v>
      </c>
      <c r="N56" s="180">
        <f t="shared" si="24"/>
        <v>127</v>
      </c>
      <c r="O56" s="180">
        <f t="shared" si="24"/>
        <v>235</v>
      </c>
      <c r="P56" s="180">
        <f t="shared" si="24"/>
        <v>1502</v>
      </c>
      <c r="Q56" s="180">
        <f t="shared" si="24"/>
        <v>270</v>
      </c>
      <c r="R56" s="180">
        <f t="shared" si="24"/>
        <v>1405</v>
      </c>
      <c r="S56" s="180">
        <f t="shared" si="24"/>
        <v>130</v>
      </c>
      <c r="T56" s="180">
        <f t="shared" si="24"/>
        <v>21</v>
      </c>
      <c r="U56" s="180">
        <f t="shared" si="24"/>
        <v>16414</v>
      </c>
      <c r="V56" s="181"/>
      <c r="W56" s="182"/>
      <c r="X56" s="182"/>
    </row>
    <row r="57" spans="1:80" ht="12">
      <c r="A57" s="152" t="s">
        <v>107</v>
      </c>
      <c r="B57" s="157">
        <f aca="true" t="shared" si="25" ref="B57:U57">+B55+B56</f>
        <v>1002</v>
      </c>
      <c r="C57" s="157">
        <f t="shared" si="25"/>
        <v>341</v>
      </c>
      <c r="D57" s="157">
        <f t="shared" si="25"/>
        <v>259</v>
      </c>
      <c r="E57" s="157">
        <f t="shared" si="25"/>
        <v>468</v>
      </c>
      <c r="F57" s="157">
        <f t="shared" si="25"/>
        <v>5653</v>
      </c>
      <c r="G57" s="157">
        <f t="shared" si="25"/>
        <v>889</v>
      </c>
      <c r="H57" s="157">
        <f t="shared" si="25"/>
        <v>3995</v>
      </c>
      <c r="I57" s="157">
        <f t="shared" si="25"/>
        <v>9186</v>
      </c>
      <c r="J57" s="157">
        <f t="shared" si="25"/>
        <v>6206</v>
      </c>
      <c r="K57" s="157">
        <f t="shared" si="25"/>
        <v>627</v>
      </c>
      <c r="L57" s="157">
        <f t="shared" si="25"/>
        <v>2236</v>
      </c>
      <c r="M57" s="157">
        <f t="shared" si="25"/>
        <v>516</v>
      </c>
      <c r="N57" s="157">
        <f t="shared" si="25"/>
        <v>409</v>
      </c>
      <c r="O57" s="157">
        <f t="shared" si="25"/>
        <v>682</v>
      </c>
      <c r="P57" s="157">
        <f t="shared" si="25"/>
        <v>3869</v>
      </c>
      <c r="Q57" s="157">
        <f t="shared" si="25"/>
        <v>811</v>
      </c>
      <c r="R57" s="157">
        <f t="shared" si="25"/>
        <v>3560</v>
      </c>
      <c r="S57" s="157">
        <f t="shared" si="25"/>
        <v>471</v>
      </c>
      <c r="T57" s="157">
        <f t="shared" si="25"/>
        <v>107</v>
      </c>
      <c r="U57" s="157">
        <f t="shared" si="25"/>
        <v>41287</v>
      </c>
      <c r="V57" s="158"/>
      <c r="W57" s="155"/>
      <c r="X57" s="155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</row>
    <row r="58" spans="2:22" s="136" customFormat="1" ht="12">
      <c r="B58" s="144"/>
      <c r="C58" s="144"/>
      <c r="E58" s="144"/>
      <c r="F58" s="144"/>
      <c r="G58" s="144"/>
      <c r="H58" s="144"/>
      <c r="I58" s="144"/>
      <c r="J58" s="144"/>
      <c r="K58" s="144" t="s">
        <v>65</v>
      </c>
      <c r="L58" s="144"/>
      <c r="M58" s="144"/>
      <c r="N58" s="144"/>
      <c r="O58" s="144"/>
      <c r="P58" s="207"/>
      <c r="Q58" s="144"/>
      <c r="R58" s="144"/>
      <c r="S58" s="144"/>
      <c r="T58" s="144"/>
      <c r="U58" s="144"/>
      <c r="V58" s="135"/>
    </row>
    <row r="59" spans="1:66" s="121" customFormat="1" ht="12">
      <c r="A59" s="146" t="s">
        <v>104</v>
      </c>
      <c r="B59" s="147"/>
      <c r="C59" s="147"/>
      <c r="D59" s="148"/>
      <c r="E59" s="148"/>
      <c r="F59" s="148"/>
      <c r="G59" s="148"/>
      <c r="H59" s="147"/>
      <c r="I59" s="148"/>
      <c r="J59" s="148"/>
      <c r="K59" s="147"/>
      <c r="L59" s="148"/>
      <c r="M59" s="148"/>
      <c r="N59" s="148"/>
      <c r="O59" s="148"/>
      <c r="P59" s="148"/>
      <c r="Q59" s="148"/>
      <c r="R59" s="147"/>
      <c r="S59" s="147"/>
      <c r="T59" s="147"/>
      <c r="U59" s="149"/>
      <c r="V59" s="150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</row>
    <row r="60" spans="1:66" ht="12">
      <c r="A60" s="152" t="s">
        <v>105</v>
      </c>
      <c r="B60" s="147"/>
      <c r="C60" s="153"/>
      <c r="D60" s="153"/>
      <c r="E60" s="153">
        <v>1</v>
      </c>
      <c r="F60" s="148"/>
      <c r="G60" s="154">
        <v>1</v>
      </c>
      <c r="H60" s="154">
        <v>1</v>
      </c>
      <c r="I60" s="148"/>
      <c r="J60" s="154"/>
      <c r="K60" s="154"/>
      <c r="L60" s="154">
        <v>1</v>
      </c>
      <c r="M60" s="154"/>
      <c r="N60" s="148"/>
      <c r="O60" s="148">
        <v>925</v>
      </c>
      <c r="P60" s="154"/>
      <c r="Q60" s="154"/>
      <c r="R60" s="147">
        <v>1</v>
      </c>
      <c r="S60" s="147"/>
      <c r="T60" s="154"/>
      <c r="U60" s="149">
        <f>SUM(B60:T60)</f>
        <v>930</v>
      </c>
      <c r="V60" s="150"/>
      <c r="W60" s="155"/>
      <c r="X60" s="155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</row>
    <row r="61" spans="1:66" ht="12">
      <c r="A61" s="152" t="s">
        <v>115</v>
      </c>
      <c r="B61" s="147">
        <v>47</v>
      </c>
      <c r="C61" s="153"/>
      <c r="D61" s="153">
        <v>5</v>
      </c>
      <c r="E61" s="153">
        <v>284</v>
      </c>
      <c r="F61" s="148">
        <f>207+58+67</f>
        <v>332</v>
      </c>
      <c r="G61" s="154">
        <v>321</v>
      </c>
      <c r="H61" s="148">
        <v>1407</v>
      </c>
      <c r="I61" s="148">
        <v>264</v>
      </c>
      <c r="J61" s="148">
        <v>1602</v>
      </c>
      <c r="K61" s="154">
        <v>393</v>
      </c>
      <c r="L61" s="154">
        <v>98</v>
      </c>
      <c r="M61" s="154">
        <v>67</v>
      </c>
      <c r="N61" s="148">
        <v>181</v>
      </c>
      <c r="O61" s="154">
        <v>720</v>
      </c>
      <c r="P61" s="148">
        <v>304</v>
      </c>
      <c r="Q61" s="154">
        <v>87</v>
      </c>
      <c r="R61" s="147">
        <f>334+269</f>
        <v>603</v>
      </c>
      <c r="S61" s="147">
        <v>24</v>
      </c>
      <c r="T61" s="154">
        <v>26</v>
      </c>
      <c r="U61" s="149">
        <f>SUM(B61:T61)</f>
        <v>6765</v>
      </c>
      <c r="V61" s="150"/>
      <c r="W61" s="155"/>
      <c r="X61" s="155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</row>
    <row r="62" spans="1:66" ht="12">
      <c r="A62" s="152" t="s">
        <v>107</v>
      </c>
      <c r="B62" s="157">
        <f aca="true" t="shared" si="26" ref="B62:U62">+B60+B61</f>
        <v>47</v>
      </c>
      <c r="C62" s="157">
        <f t="shared" si="26"/>
        <v>0</v>
      </c>
      <c r="D62" s="157">
        <f t="shared" si="26"/>
        <v>5</v>
      </c>
      <c r="E62" s="157">
        <f t="shared" si="26"/>
        <v>285</v>
      </c>
      <c r="F62" s="157">
        <f t="shared" si="26"/>
        <v>332</v>
      </c>
      <c r="G62" s="157">
        <f t="shared" si="26"/>
        <v>322</v>
      </c>
      <c r="H62" s="157">
        <f t="shared" si="26"/>
        <v>1408</v>
      </c>
      <c r="I62" s="157">
        <f t="shared" si="26"/>
        <v>264</v>
      </c>
      <c r="J62" s="157">
        <f t="shared" si="26"/>
        <v>1602</v>
      </c>
      <c r="K62" s="157">
        <f t="shared" si="26"/>
        <v>393</v>
      </c>
      <c r="L62" s="157">
        <f t="shared" si="26"/>
        <v>99</v>
      </c>
      <c r="M62" s="157">
        <f t="shared" si="26"/>
        <v>67</v>
      </c>
      <c r="N62" s="157">
        <f t="shared" si="26"/>
        <v>181</v>
      </c>
      <c r="O62" s="157">
        <f t="shared" si="26"/>
        <v>1645</v>
      </c>
      <c r="P62" s="157">
        <f t="shared" si="26"/>
        <v>304</v>
      </c>
      <c r="Q62" s="157">
        <f t="shared" si="26"/>
        <v>87</v>
      </c>
      <c r="R62" s="157">
        <f t="shared" si="26"/>
        <v>604</v>
      </c>
      <c r="S62" s="157">
        <f t="shared" si="26"/>
        <v>24</v>
      </c>
      <c r="T62" s="157">
        <f t="shared" si="26"/>
        <v>26</v>
      </c>
      <c r="U62" s="157">
        <f t="shared" si="26"/>
        <v>7695</v>
      </c>
      <c r="V62" s="158"/>
      <c r="W62" s="155"/>
      <c r="X62" s="155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</row>
    <row r="63" spans="1:66" ht="12">
      <c r="A63" s="146" t="s">
        <v>108</v>
      </c>
      <c r="B63" s="147"/>
      <c r="C63" s="148"/>
      <c r="D63" s="148"/>
      <c r="E63" s="148"/>
      <c r="F63" s="148"/>
      <c r="G63" s="148"/>
      <c r="H63" s="147"/>
      <c r="I63" s="148"/>
      <c r="J63" s="148"/>
      <c r="K63" s="147"/>
      <c r="L63" s="148"/>
      <c r="M63" s="148"/>
      <c r="N63" s="148"/>
      <c r="O63" s="148"/>
      <c r="P63" s="148"/>
      <c r="Q63" s="148"/>
      <c r="R63" s="147"/>
      <c r="S63" s="147"/>
      <c r="T63" s="147"/>
      <c r="U63" s="149"/>
      <c r="V63" s="158"/>
      <c r="W63" s="155"/>
      <c r="X63" s="155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</row>
    <row r="64" spans="1:66" ht="12">
      <c r="A64" s="152" t="s">
        <v>105</v>
      </c>
      <c r="B64" s="147"/>
      <c r="C64" s="153"/>
      <c r="D64" s="153"/>
      <c r="E64" s="153"/>
      <c r="F64" s="148"/>
      <c r="G64" s="148"/>
      <c r="H64" s="147"/>
      <c r="I64" s="148"/>
      <c r="J64" s="148"/>
      <c r="K64" s="147"/>
      <c r="L64" s="148"/>
      <c r="M64" s="148"/>
      <c r="N64" s="148"/>
      <c r="O64" s="154"/>
      <c r="P64" s="148"/>
      <c r="Q64" s="148"/>
      <c r="R64" s="147"/>
      <c r="S64" s="147"/>
      <c r="T64" s="147"/>
      <c r="U64" s="149">
        <f>SUM(B64:T64)</f>
        <v>0</v>
      </c>
      <c r="V64" s="158"/>
      <c r="W64" s="155"/>
      <c r="X64" s="155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</row>
    <row r="65" spans="1:66" s="162" customFormat="1" ht="12">
      <c r="A65" s="152" t="s">
        <v>115</v>
      </c>
      <c r="B65" s="159"/>
      <c r="C65" s="153"/>
      <c r="D65" s="153"/>
      <c r="E65" s="153">
        <v>13</v>
      </c>
      <c r="F65" s="159">
        <v>3</v>
      </c>
      <c r="G65" s="159">
        <v>1</v>
      </c>
      <c r="H65" s="159">
        <v>3</v>
      </c>
      <c r="I65" s="159">
        <v>4</v>
      </c>
      <c r="J65" s="159"/>
      <c r="K65" s="159"/>
      <c r="L65" s="159">
        <v>1</v>
      </c>
      <c r="M65" s="159"/>
      <c r="N65" s="159"/>
      <c r="O65" s="154">
        <v>2</v>
      </c>
      <c r="P65" s="159"/>
      <c r="Q65" s="159"/>
      <c r="R65" s="159"/>
      <c r="S65" s="159">
        <v>3</v>
      </c>
      <c r="T65" s="160"/>
      <c r="U65" s="149">
        <f>SUM(B65:T65)</f>
        <v>30</v>
      </c>
      <c r="V65" s="160"/>
      <c r="W65" s="155"/>
      <c r="X65" s="155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</row>
    <row r="66" spans="1:66" ht="12">
      <c r="A66" s="152" t="s">
        <v>107</v>
      </c>
      <c r="B66" s="157">
        <f aca="true" t="shared" si="27" ref="B66:U66">+B64+B65</f>
        <v>0</v>
      </c>
      <c r="C66" s="157">
        <f t="shared" si="27"/>
        <v>0</v>
      </c>
      <c r="D66" s="157">
        <f t="shared" si="27"/>
        <v>0</v>
      </c>
      <c r="E66" s="157">
        <f t="shared" si="27"/>
        <v>13</v>
      </c>
      <c r="F66" s="157">
        <f t="shared" si="27"/>
        <v>3</v>
      </c>
      <c r="G66" s="157">
        <f t="shared" si="27"/>
        <v>1</v>
      </c>
      <c r="H66" s="157">
        <f t="shared" si="27"/>
        <v>3</v>
      </c>
      <c r="I66" s="157">
        <f t="shared" si="27"/>
        <v>4</v>
      </c>
      <c r="J66" s="157">
        <f t="shared" si="27"/>
        <v>0</v>
      </c>
      <c r="K66" s="157">
        <f t="shared" si="27"/>
        <v>0</v>
      </c>
      <c r="L66" s="157">
        <f t="shared" si="27"/>
        <v>1</v>
      </c>
      <c r="M66" s="157">
        <f t="shared" si="27"/>
        <v>0</v>
      </c>
      <c r="N66" s="157">
        <f t="shared" si="27"/>
        <v>0</v>
      </c>
      <c r="O66" s="157">
        <f t="shared" si="27"/>
        <v>2</v>
      </c>
      <c r="P66" s="157">
        <f t="shared" si="27"/>
        <v>0</v>
      </c>
      <c r="Q66" s="157">
        <f t="shared" si="27"/>
        <v>0</v>
      </c>
      <c r="R66" s="157">
        <f t="shared" si="27"/>
        <v>0</v>
      </c>
      <c r="S66" s="157">
        <f t="shared" si="27"/>
        <v>3</v>
      </c>
      <c r="T66" s="157">
        <f t="shared" si="27"/>
        <v>0</v>
      </c>
      <c r="U66" s="157">
        <f t="shared" si="27"/>
        <v>30</v>
      </c>
      <c r="V66" s="158"/>
      <c r="W66" s="155"/>
      <c r="X66" s="155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</row>
    <row r="67" spans="1:66" s="166" customFormat="1" ht="12">
      <c r="A67" s="146" t="s">
        <v>109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48"/>
      <c r="S67" s="163"/>
      <c r="T67" s="163"/>
      <c r="U67" s="149"/>
      <c r="V67" s="164"/>
      <c r="W67" s="155"/>
      <c r="X67" s="15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5"/>
    </row>
    <row r="68" spans="1:66" ht="13.5" customHeight="1">
      <c r="A68" s="152" t="s">
        <v>105</v>
      </c>
      <c r="B68" s="153">
        <v>293</v>
      </c>
      <c r="C68" s="153">
        <v>39</v>
      </c>
      <c r="D68" s="153">
        <v>85</v>
      </c>
      <c r="E68" s="153">
        <v>375</v>
      </c>
      <c r="F68" s="148">
        <f>1401+638+657</f>
        <v>2696</v>
      </c>
      <c r="G68" s="154">
        <v>186</v>
      </c>
      <c r="H68" s="148">
        <v>1187</v>
      </c>
      <c r="I68" s="148">
        <f>880+168</f>
        <v>1048</v>
      </c>
      <c r="J68" s="148">
        <v>4660</v>
      </c>
      <c r="K68" s="148">
        <v>1500</v>
      </c>
      <c r="L68" s="148">
        <v>1514</v>
      </c>
      <c r="M68" s="154">
        <v>62</v>
      </c>
      <c r="N68" s="154">
        <v>600</v>
      </c>
      <c r="O68" s="148">
        <v>2303</v>
      </c>
      <c r="P68" s="148">
        <v>1373</v>
      </c>
      <c r="Q68" s="154">
        <v>293</v>
      </c>
      <c r="R68" s="148">
        <f>845+1849</f>
        <v>2694</v>
      </c>
      <c r="S68" s="154">
        <v>161</v>
      </c>
      <c r="T68" s="154">
        <v>434</v>
      </c>
      <c r="U68" s="149">
        <f>SUM(B68:T68)</f>
        <v>21503</v>
      </c>
      <c r="V68" s="167"/>
      <c r="W68" s="168"/>
      <c r="X68" s="168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</row>
    <row r="69" spans="1:38" ht="12">
      <c r="A69" s="152" t="s">
        <v>115</v>
      </c>
      <c r="B69" s="153">
        <v>132</v>
      </c>
      <c r="C69" s="153"/>
      <c r="D69" s="153">
        <v>16</v>
      </c>
      <c r="E69" s="153">
        <v>272</v>
      </c>
      <c r="F69" s="148">
        <f>705+188+368</f>
        <v>1261</v>
      </c>
      <c r="G69" s="154">
        <v>70</v>
      </c>
      <c r="H69" s="154">
        <v>736</v>
      </c>
      <c r="I69" s="148">
        <f>351+61</f>
        <v>412</v>
      </c>
      <c r="J69" s="148">
        <v>1814</v>
      </c>
      <c r="K69" s="154">
        <v>608</v>
      </c>
      <c r="L69" s="154">
        <v>199</v>
      </c>
      <c r="M69" s="154">
        <v>16</v>
      </c>
      <c r="N69" s="154">
        <v>168</v>
      </c>
      <c r="O69" s="148">
        <v>850</v>
      </c>
      <c r="P69" s="148">
        <v>570</v>
      </c>
      <c r="Q69" s="154">
        <v>96</v>
      </c>
      <c r="R69" s="148">
        <f>801+269</f>
        <v>1070</v>
      </c>
      <c r="S69" s="154">
        <v>46</v>
      </c>
      <c r="T69" s="154">
        <v>45</v>
      </c>
      <c r="U69" s="149">
        <f>SUM(B69:T69)</f>
        <v>8381</v>
      </c>
      <c r="V69" s="167"/>
      <c r="W69" s="168"/>
      <c r="X69" s="168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</row>
    <row r="70" spans="1:66" ht="12">
      <c r="A70" s="152" t="s">
        <v>107</v>
      </c>
      <c r="B70" s="157">
        <f aca="true" t="shared" si="28" ref="B70:U70">+B68+B69</f>
        <v>425</v>
      </c>
      <c r="C70" s="157">
        <f t="shared" si="28"/>
        <v>39</v>
      </c>
      <c r="D70" s="157">
        <f t="shared" si="28"/>
        <v>101</v>
      </c>
      <c r="E70" s="157">
        <f t="shared" si="28"/>
        <v>647</v>
      </c>
      <c r="F70" s="157">
        <f t="shared" si="28"/>
        <v>3957</v>
      </c>
      <c r="G70" s="157">
        <f t="shared" si="28"/>
        <v>256</v>
      </c>
      <c r="H70" s="157">
        <f t="shared" si="28"/>
        <v>1923</v>
      </c>
      <c r="I70" s="157">
        <f t="shared" si="28"/>
        <v>1460</v>
      </c>
      <c r="J70" s="157">
        <f t="shared" si="28"/>
        <v>6474</v>
      </c>
      <c r="K70" s="157">
        <f t="shared" si="28"/>
        <v>2108</v>
      </c>
      <c r="L70" s="157">
        <f t="shared" si="28"/>
        <v>1713</v>
      </c>
      <c r="M70" s="157">
        <f t="shared" si="28"/>
        <v>78</v>
      </c>
      <c r="N70" s="157">
        <f t="shared" si="28"/>
        <v>768</v>
      </c>
      <c r="O70" s="157">
        <f t="shared" si="28"/>
        <v>3153</v>
      </c>
      <c r="P70" s="157">
        <f t="shared" si="28"/>
        <v>1943</v>
      </c>
      <c r="Q70" s="157">
        <f t="shared" si="28"/>
        <v>389</v>
      </c>
      <c r="R70" s="157">
        <f t="shared" si="28"/>
        <v>3764</v>
      </c>
      <c r="S70" s="157">
        <f t="shared" si="28"/>
        <v>207</v>
      </c>
      <c r="T70" s="157">
        <f t="shared" si="28"/>
        <v>479</v>
      </c>
      <c r="U70" s="157">
        <f t="shared" si="28"/>
        <v>29884</v>
      </c>
      <c r="V70" s="158"/>
      <c r="W70" s="155"/>
      <c r="X70" s="155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</row>
    <row r="71" spans="1:38" ht="24">
      <c r="A71" s="146" t="s">
        <v>117</v>
      </c>
      <c r="B71" s="169"/>
      <c r="C71" s="170"/>
      <c r="D71" s="170"/>
      <c r="E71" s="170"/>
      <c r="F71" s="169"/>
      <c r="G71" s="169"/>
      <c r="H71" s="171"/>
      <c r="I71" s="169"/>
      <c r="J71" s="172"/>
      <c r="K71" s="170"/>
      <c r="L71" s="172"/>
      <c r="M71" s="172"/>
      <c r="N71" s="170"/>
      <c r="O71" s="169"/>
      <c r="P71" s="172"/>
      <c r="Q71" s="170"/>
      <c r="R71" s="169"/>
      <c r="S71" s="169"/>
      <c r="T71" s="169"/>
      <c r="U71" s="149"/>
      <c r="V71" s="171"/>
      <c r="W71" s="171"/>
      <c r="X71" s="171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</row>
    <row r="72" spans="1:38" ht="12">
      <c r="A72" s="152" t="s">
        <v>105</v>
      </c>
      <c r="B72" s="153">
        <v>69</v>
      </c>
      <c r="C72" s="170"/>
      <c r="D72" s="153">
        <v>29</v>
      </c>
      <c r="E72" s="153">
        <v>129</v>
      </c>
      <c r="F72" s="150">
        <f>374+212+62</f>
        <v>648</v>
      </c>
      <c r="G72" s="154">
        <v>27</v>
      </c>
      <c r="H72" s="154">
        <v>2239</v>
      </c>
      <c r="I72" s="150">
        <f>52+356</f>
        <v>408</v>
      </c>
      <c r="J72" s="148">
        <v>1470</v>
      </c>
      <c r="K72" s="154">
        <v>340</v>
      </c>
      <c r="L72" s="154">
        <v>43</v>
      </c>
      <c r="M72" s="154">
        <v>20</v>
      </c>
      <c r="N72" s="154">
        <v>497</v>
      </c>
      <c r="O72" s="154">
        <v>347</v>
      </c>
      <c r="P72" s="154">
        <v>420</v>
      </c>
      <c r="Q72" s="154">
        <v>36</v>
      </c>
      <c r="R72" s="150">
        <f>470+241</f>
        <v>711</v>
      </c>
      <c r="S72" s="154">
        <v>68</v>
      </c>
      <c r="T72" s="150">
        <v>134</v>
      </c>
      <c r="U72" s="149">
        <f>SUM(B72:T72)</f>
        <v>7635</v>
      </c>
      <c r="V72" s="150"/>
      <c r="W72" s="150"/>
      <c r="X72" s="150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</row>
    <row r="73" spans="1:38" ht="12">
      <c r="A73" s="152" t="s">
        <v>115</v>
      </c>
      <c r="B73" s="153">
        <v>6</v>
      </c>
      <c r="C73" s="160"/>
      <c r="D73" s="153">
        <v>1</v>
      </c>
      <c r="E73" s="153">
        <v>11</v>
      </c>
      <c r="F73" s="159">
        <f>105+27+12</f>
        <v>144</v>
      </c>
      <c r="G73" s="154">
        <v>4</v>
      </c>
      <c r="H73" s="148">
        <v>100</v>
      </c>
      <c r="I73" s="148">
        <f>7+74</f>
        <v>81</v>
      </c>
      <c r="J73" s="148">
        <v>292</v>
      </c>
      <c r="K73" s="154">
        <v>24</v>
      </c>
      <c r="L73" s="160">
        <v>5</v>
      </c>
      <c r="M73" s="154">
        <v>2</v>
      </c>
      <c r="N73" s="154">
        <v>52</v>
      </c>
      <c r="O73" s="154">
        <v>88</v>
      </c>
      <c r="P73" s="154">
        <v>53</v>
      </c>
      <c r="Q73" s="154">
        <v>5</v>
      </c>
      <c r="R73" s="159">
        <f>59+76</f>
        <v>135</v>
      </c>
      <c r="S73" s="154">
        <v>6</v>
      </c>
      <c r="T73" s="160">
        <v>35</v>
      </c>
      <c r="U73" s="149">
        <f>SUM(B73:T73)</f>
        <v>1044</v>
      </c>
      <c r="V73" s="164"/>
      <c r="W73" s="160"/>
      <c r="X73" s="160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</row>
    <row r="74" spans="1:66" ht="12">
      <c r="A74" s="152" t="s">
        <v>107</v>
      </c>
      <c r="B74" s="157">
        <f aca="true" t="shared" si="29" ref="B74:U74">+B72+B73</f>
        <v>75</v>
      </c>
      <c r="C74" s="157">
        <f t="shared" si="29"/>
        <v>0</v>
      </c>
      <c r="D74" s="157">
        <f t="shared" si="29"/>
        <v>30</v>
      </c>
      <c r="E74" s="157">
        <f t="shared" si="29"/>
        <v>140</v>
      </c>
      <c r="F74" s="157">
        <f t="shared" si="29"/>
        <v>792</v>
      </c>
      <c r="G74" s="157">
        <f t="shared" si="29"/>
        <v>31</v>
      </c>
      <c r="H74" s="157">
        <f t="shared" si="29"/>
        <v>2339</v>
      </c>
      <c r="I74" s="157">
        <f t="shared" si="29"/>
        <v>489</v>
      </c>
      <c r="J74" s="157">
        <f t="shared" si="29"/>
        <v>1762</v>
      </c>
      <c r="K74" s="157">
        <f t="shared" si="29"/>
        <v>364</v>
      </c>
      <c r="L74" s="157">
        <f t="shared" si="29"/>
        <v>48</v>
      </c>
      <c r="M74" s="157">
        <f t="shared" si="29"/>
        <v>22</v>
      </c>
      <c r="N74" s="157">
        <f t="shared" si="29"/>
        <v>549</v>
      </c>
      <c r="O74" s="157">
        <f t="shared" si="29"/>
        <v>435</v>
      </c>
      <c r="P74" s="157">
        <f t="shared" si="29"/>
        <v>473</v>
      </c>
      <c r="Q74" s="157">
        <f t="shared" si="29"/>
        <v>41</v>
      </c>
      <c r="R74" s="157">
        <f t="shared" si="29"/>
        <v>846</v>
      </c>
      <c r="S74" s="157">
        <f t="shared" si="29"/>
        <v>74</v>
      </c>
      <c r="T74" s="157">
        <f t="shared" si="29"/>
        <v>169</v>
      </c>
      <c r="U74" s="157">
        <f t="shared" si="29"/>
        <v>8679</v>
      </c>
      <c r="V74" s="158"/>
      <c r="W74" s="155"/>
      <c r="X74" s="155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  <c r="BM74" s="156"/>
      <c r="BN74" s="156"/>
    </row>
    <row r="75" spans="1:38" ht="12">
      <c r="A75" s="146" t="s">
        <v>111</v>
      </c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49"/>
      <c r="V75" s="163"/>
      <c r="W75" s="173"/>
      <c r="X75" s="173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</row>
    <row r="76" spans="1:38" ht="12">
      <c r="A76" s="152" t="s">
        <v>105</v>
      </c>
      <c r="B76" s="174"/>
      <c r="C76" s="153">
        <v>245</v>
      </c>
      <c r="D76" s="156"/>
      <c r="E76" s="156"/>
      <c r="F76" s="174"/>
      <c r="G76" s="148">
        <v>1232</v>
      </c>
      <c r="H76" s="175"/>
      <c r="I76" s="154">
        <v>369</v>
      </c>
      <c r="J76" s="174"/>
      <c r="K76" s="176"/>
      <c r="L76" s="148">
        <v>1280</v>
      </c>
      <c r="M76" s="154">
        <v>522</v>
      </c>
      <c r="N76" s="176"/>
      <c r="O76" s="174"/>
      <c r="P76" s="174"/>
      <c r="Q76" s="176"/>
      <c r="R76" s="175"/>
      <c r="S76" s="174"/>
      <c r="T76" s="174"/>
      <c r="U76" s="149">
        <f>SUM(B76:T76)</f>
        <v>3648</v>
      </c>
      <c r="V76" s="177"/>
      <c r="W76" s="159"/>
      <c r="X76" s="159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</row>
    <row r="77" spans="1:38" ht="12">
      <c r="A77" s="152" t="s">
        <v>115</v>
      </c>
      <c r="B77" s="178"/>
      <c r="C77" s="153">
        <v>84</v>
      </c>
      <c r="D77" s="156"/>
      <c r="E77" s="156"/>
      <c r="F77" s="178"/>
      <c r="G77" s="154">
        <v>186</v>
      </c>
      <c r="H77" s="178"/>
      <c r="I77" s="178">
        <v>190</v>
      </c>
      <c r="J77" s="178"/>
      <c r="K77" s="178"/>
      <c r="L77" s="154">
        <v>359</v>
      </c>
      <c r="M77" s="154">
        <v>263</v>
      </c>
      <c r="N77" s="178"/>
      <c r="O77" s="178"/>
      <c r="P77" s="178"/>
      <c r="Q77" s="178"/>
      <c r="R77" s="178"/>
      <c r="S77" s="178"/>
      <c r="T77" s="178"/>
      <c r="U77" s="149">
        <f>SUM(B77:T77)</f>
        <v>1082</v>
      </c>
      <c r="V77" s="150"/>
      <c r="W77" s="155"/>
      <c r="X77" s="155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</row>
    <row r="78" spans="1:66" ht="12">
      <c r="A78" s="152" t="s">
        <v>107</v>
      </c>
      <c r="B78" s="157">
        <f aca="true" t="shared" si="30" ref="B78:U78">+B76+B77</f>
        <v>0</v>
      </c>
      <c r="C78" s="157">
        <f t="shared" si="30"/>
        <v>329</v>
      </c>
      <c r="D78" s="157">
        <f t="shared" si="30"/>
        <v>0</v>
      </c>
      <c r="E78" s="157">
        <f t="shared" si="30"/>
        <v>0</v>
      </c>
      <c r="F78" s="157">
        <f t="shared" si="30"/>
        <v>0</v>
      </c>
      <c r="G78" s="157">
        <f t="shared" si="30"/>
        <v>1418</v>
      </c>
      <c r="H78" s="157">
        <f t="shared" si="30"/>
        <v>0</v>
      </c>
      <c r="I78" s="157">
        <f t="shared" si="30"/>
        <v>559</v>
      </c>
      <c r="J78" s="157">
        <f t="shared" si="30"/>
        <v>0</v>
      </c>
      <c r="K78" s="157">
        <f t="shared" si="30"/>
        <v>0</v>
      </c>
      <c r="L78" s="157">
        <f t="shared" si="30"/>
        <v>1639</v>
      </c>
      <c r="M78" s="157">
        <f t="shared" si="30"/>
        <v>785</v>
      </c>
      <c r="N78" s="157">
        <f t="shared" si="30"/>
        <v>0</v>
      </c>
      <c r="O78" s="157">
        <f t="shared" si="30"/>
        <v>0</v>
      </c>
      <c r="P78" s="157">
        <f t="shared" si="30"/>
        <v>0</v>
      </c>
      <c r="Q78" s="157">
        <f t="shared" si="30"/>
        <v>0</v>
      </c>
      <c r="R78" s="157">
        <f t="shared" si="30"/>
        <v>0</v>
      </c>
      <c r="S78" s="157">
        <f t="shared" si="30"/>
        <v>0</v>
      </c>
      <c r="T78" s="157">
        <f t="shared" si="30"/>
        <v>0</v>
      </c>
      <c r="U78" s="157">
        <f t="shared" si="30"/>
        <v>4730</v>
      </c>
      <c r="V78" s="158"/>
      <c r="W78" s="155"/>
      <c r="X78" s="155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N78" s="156"/>
    </row>
    <row r="79" spans="1:38" ht="12">
      <c r="A79" s="146" t="s">
        <v>112</v>
      </c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9"/>
      <c r="V79" s="150"/>
      <c r="W79" s="155"/>
      <c r="X79" s="155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</row>
    <row r="80" spans="1:24" ht="12">
      <c r="A80" s="152" t="s">
        <v>105</v>
      </c>
      <c r="B80" s="180">
        <f aca="true" t="shared" si="31" ref="B80:U80">+B76+B72+B68+B64+B60</f>
        <v>362</v>
      </c>
      <c r="C80" s="180">
        <f t="shared" si="31"/>
        <v>284</v>
      </c>
      <c r="D80" s="180">
        <f t="shared" si="31"/>
        <v>114</v>
      </c>
      <c r="E80" s="180">
        <f t="shared" si="31"/>
        <v>505</v>
      </c>
      <c r="F80" s="180">
        <f t="shared" si="31"/>
        <v>3344</v>
      </c>
      <c r="G80" s="180">
        <f t="shared" si="31"/>
        <v>1446</v>
      </c>
      <c r="H80" s="180">
        <f t="shared" si="31"/>
        <v>3427</v>
      </c>
      <c r="I80" s="180">
        <f t="shared" si="31"/>
        <v>1825</v>
      </c>
      <c r="J80" s="180">
        <f t="shared" si="31"/>
        <v>6130</v>
      </c>
      <c r="K80" s="180">
        <f t="shared" si="31"/>
        <v>1840</v>
      </c>
      <c r="L80" s="180">
        <f t="shared" si="31"/>
        <v>2838</v>
      </c>
      <c r="M80" s="180">
        <f t="shared" si="31"/>
        <v>604</v>
      </c>
      <c r="N80" s="180">
        <f t="shared" si="31"/>
        <v>1097</v>
      </c>
      <c r="O80" s="180">
        <f t="shared" si="31"/>
        <v>3575</v>
      </c>
      <c r="P80" s="180">
        <f t="shared" si="31"/>
        <v>1793</v>
      </c>
      <c r="Q80" s="180">
        <f t="shared" si="31"/>
        <v>329</v>
      </c>
      <c r="R80" s="180">
        <f t="shared" si="31"/>
        <v>3406</v>
      </c>
      <c r="S80" s="180">
        <f t="shared" si="31"/>
        <v>229</v>
      </c>
      <c r="T80" s="180">
        <f t="shared" si="31"/>
        <v>568</v>
      </c>
      <c r="U80" s="180">
        <f t="shared" si="31"/>
        <v>33716</v>
      </c>
      <c r="V80" s="181"/>
      <c r="W80" s="182"/>
      <c r="X80" s="182"/>
    </row>
    <row r="81" spans="1:24" ht="12">
      <c r="A81" s="152" t="s">
        <v>115</v>
      </c>
      <c r="B81" s="180">
        <f aca="true" t="shared" si="32" ref="B81:U81">+B77+B73+B69+B65+B61</f>
        <v>185</v>
      </c>
      <c r="C81" s="180">
        <f t="shared" si="32"/>
        <v>84</v>
      </c>
      <c r="D81" s="180">
        <f t="shared" si="32"/>
        <v>22</v>
      </c>
      <c r="E81" s="180">
        <f t="shared" si="32"/>
        <v>580</v>
      </c>
      <c r="F81" s="180">
        <f t="shared" si="32"/>
        <v>1740</v>
      </c>
      <c r="G81" s="180">
        <f t="shared" si="32"/>
        <v>582</v>
      </c>
      <c r="H81" s="180">
        <f t="shared" si="32"/>
        <v>2246</v>
      </c>
      <c r="I81" s="180">
        <f t="shared" si="32"/>
        <v>951</v>
      </c>
      <c r="J81" s="180">
        <f t="shared" si="32"/>
        <v>3708</v>
      </c>
      <c r="K81" s="180">
        <f t="shared" si="32"/>
        <v>1025</v>
      </c>
      <c r="L81" s="180">
        <f t="shared" si="32"/>
        <v>662</v>
      </c>
      <c r="M81" s="180">
        <f t="shared" si="32"/>
        <v>348</v>
      </c>
      <c r="N81" s="180">
        <f t="shared" si="32"/>
        <v>401</v>
      </c>
      <c r="O81" s="180">
        <f t="shared" si="32"/>
        <v>1660</v>
      </c>
      <c r="P81" s="180">
        <f t="shared" si="32"/>
        <v>927</v>
      </c>
      <c r="Q81" s="180">
        <f t="shared" si="32"/>
        <v>188</v>
      </c>
      <c r="R81" s="180">
        <f t="shared" si="32"/>
        <v>1808</v>
      </c>
      <c r="S81" s="180">
        <f t="shared" si="32"/>
        <v>79</v>
      </c>
      <c r="T81" s="180">
        <f t="shared" si="32"/>
        <v>106</v>
      </c>
      <c r="U81" s="180">
        <f t="shared" si="32"/>
        <v>17302</v>
      </c>
      <c r="V81" s="181"/>
      <c r="W81" s="182"/>
      <c r="X81" s="182"/>
    </row>
    <row r="82" spans="1:66" ht="12">
      <c r="A82" s="183" t="s">
        <v>107</v>
      </c>
      <c r="B82" s="184">
        <f aca="true" t="shared" si="33" ref="B82:U82">+B80+B81</f>
        <v>547</v>
      </c>
      <c r="C82" s="184">
        <f t="shared" si="33"/>
        <v>368</v>
      </c>
      <c r="D82" s="184">
        <f t="shared" si="33"/>
        <v>136</v>
      </c>
      <c r="E82" s="184">
        <f t="shared" si="33"/>
        <v>1085</v>
      </c>
      <c r="F82" s="184">
        <f t="shared" si="33"/>
        <v>5084</v>
      </c>
      <c r="G82" s="184">
        <f t="shared" si="33"/>
        <v>2028</v>
      </c>
      <c r="H82" s="184">
        <f t="shared" si="33"/>
        <v>5673</v>
      </c>
      <c r="I82" s="184">
        <f t="shared" si="33"/>
        <v>2776</v>
      </c>
      <c r="J82" s="184">
        <f t="shared" si="33"/>
        <v>9838</v>
      </c>
      <c r="K82" s="184">
        <f t="shared" si="33"/>
        <v>2865</v>
      </c>
      <c r="L82" s="184">
        <f t="shared" si="33"/>
        <v>3500</v>
      </c>
      <c r="M82" s="184">
        <f t="shared" si="33"/>
        <v>952</v>
      </c>
      <c r="N82" s="184">
        <f t="shared" si="33"/>
        <v>1498</v>
      </c>
      <c r="O82" s="184">
        <f t="shared" si="33"/>
        <v>5235</v>
      </c>
      <c r="P82" s="184">
        <f t="shared" si="33"/>
        <v>2720</v>
      </c>
      <c r="Q82" s="184">
        <f t="shared" si="33"/>
        <v>517</v>
      </c>
      <c r="R82" s="184">
        <f t="shared" si="33"/>
        <v>5214</v>
      </c>
      <c r="S82" s="184">
        <f t="shared" si="33"/>
        <v>308</v>
      </c>
      <c r="T82" s="184">
        <f t="shared" si="33"/>
        <v>674</v>
      </c>
      <c r="U82" s="184">
        <f t="shared" si="33"/>
        <v>51018</v>
      </c>
      <c r="V82" s="158"/>
      <c r="W82" s="155"/>
      <c r="X82" s="155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</row>
    <row r="83" spans="1:24" ht="12">
      <c r="A83" s="73" t="s">
        <v>113</v>
      </c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6"/>
      <c r="V83" s="187"/>
      <c r="W83" s="188"/>
      <c r="X83" s="188"/>
    </row>
    <row r="84" spans="1:24" ht="12">
      <c r="A84" s="77" t="s">
        <v>66</v>
      </c>
      <c r="B84" s="189"/>
      <c r="C84" s="180"/>
      <c r="D84" s="189"/>
      <c r="E84" s="180"/>
      <c r="F84" s="189"/>
      <c r="G84" s="189"/>
      <c r="H84" s="189"/>
      <c r="I84" s="189"/>
      <c r="J84" s="189"/>
      <c r="K84" s="180"/>
      <c r="L84" s="189"/>
      <c r="M84" s="189"/>
      <c r="N84" s="180"/>
      <c r="O84" s="189"/>
      <c r="P84" s="189"/>
      <c r="Q84" s="180"/>
      <c r="R84" s="189"/>
      <c r="S84" s="189"/>
      <c r="T84" s="189"/>
      <c r="U84" s="186"/>
      <c r="V84" s="190"/>
      <c r="W84" s="80"/>
      <c r="X84" s="80"/>
    </row>
    <row r="85" spans="1:24" ht="12">
      <c r="A85" s="191"/>
      <c r="B85" s="186"/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92"/>
      <c r="W85" s="193"/>
      <c r="X85" s="193"/>
    </row>
    <row r="86" spans="1:24" ht="12">
      <c r="A86" s="194"/>
      <c r="B86" s="194"/>
      <c r="C86" s="30"/>
      <c r="D86" s="194"/>
      <c r="E86" s="30"/>
      <c r="F86" s="194"/>
      <c r="G86" s="194"/>
      <c r="H86" s="55"/>
      <c r="I86" s="194"/>
      <c r="J86" s="194"/>
      <c r="K86" s="30"/>
      <c r="L86" s="194"/>
      <c r="M86" s="194"/>
      <c r="N86" s="30"/>
      <c r="O86" s="194"/>
      <c r="P86" s="194"/>
      <c r="Q86" s="30"/>
      <c r="R86" s="55"/>
      <c r="S86" s="194"/>
      <c r="T86" s="194"/>
      <c r="U86" s="195"/>
      <c r="V86" s="196"/>
      <c r="W86" s="197"/>
      <c r="X86" s="197"/>
    </row>
    <row r="87" spans="1:24" ht="12">
      <c r="A87" s="198"/>
      <c r="B87" s="199"/>
      <c r="C87" s="30"/>
      <c r="D87" s="30"/>
      <c r="E87" s="30"/>
      <c r="F87" s="199"/>
      <c r="G87" s="199"/>
      <c r="H87" s="199"/>
      <c r="I87" s="199"/>
      <c r="J87" s="199"/>
      <c r="K87" s="30"/>
      <c r="L87" s="199"/>
      <c r="M87" s="199"/>
      <c r="N87" s="30"/>
      <c r="O87" s="199"/>
      <c r="P87" s="199"/>
      <c r="Q87" s="30"/>
      <c r="R87" s="199"/>
      <c r="S87" s="199"/>
      <c r="T87" s="199"/>
      <c r="U87" s="186"/>
      <c r="V87" s="200"/>
      <c r="W87" s="199"/>
      <c r="X87" s="199"/>
    </row>
    <row r="88" spans="1:24" ht="12">
      <c r="A88" s="198"/>
      <c r="B88" s="199"/>
      <c r="C88" s="30"/>
      <c r="D88" s="30"/>
      <c r="E88" s="30"/>
      <c r="F88" s="199"/>
      <c r="G88" s="199"/>
      <c r="H88" s="199"/>
      <c r="I88" s="199"/>
      <c r="J88" s="199"/>
      <c r="K88" s="30"/>
      <c r="L88" s="199"/>
      <c r="M88" s="199"/>
      <c r="N88" s="30"/>
      <c r="O88" s="199"/>
      <c r="P88" s="199"/>
      <c r="Q88" s="30"/>
      <c r="R88" s="199"/>
      <c r="S88" s="199"/>
      <c r="T88" s="199"/>
      <c r="U88" s="186"/>
      <c r="V88" s="200"/>
      <c r="W88" s="199"/>
      <c r="X88" s="199"/>
    </row>
    <row r="89" spans="1:24" ht="12">
      <c r="A89" s="198"/>
      <c r="B89" s="199"/>
      <c r="C89" s="30"/>
      <c r="D89" s="30"/>
      <c r="E89" s="30"/>
      <c r="F89" s="199"/>
      <c r="G89" s="199"/>
      <c r="H89" s="199"/>
      <c r="I89" s="199"/>
      <c r="J89" s="199"/>
      <c r="K89" s="30"/>
      <c r="L89" s="199"/>
      <c r="M89" s="199"/>
      <c r="N89" s="30"/>
      <c r="O89" s="199"/>
      <c r="P89" s="199"/>
      <c r="Q89" s="30"/>
      <c r="R89" s="199"/>
      <c r="S89" s="199"/>
      <c r="T89" s="199"/>
      <c r="U89" s="186"/>
      <c r="V89" s="200"/>
      <c r="W89" s="199"/>
      <c r="X89" s="199"/>
    </row>
    <row r="90" spans="1:24" ht="12">
      <c r="A90" s="198"/>
      <c r="B90" s="199"/>
      <c r="C90" s="30"/>
      <c r="D90" s="30"/>
      <c r="E90" s="30"/>
      <c r="F90" s="199"/>
      <c r="G90" s="199"/>
      <c r="H90" s="199"/>
      <c r="I90" s="199"/>
      <c r="J90" s="199"/>
      <c r="K90" s="30"/>
      <c r="L90" s="199"/>
      <c r="M90" s="199"/>
      <c r="N90" s="30"/>
      <c r="O90" s="199"/>
      <c r="P90" s="199"/>
      <c r="Q90" s="30"/>
      <c r="R90" s="199"/>
      <c r="S90" s="199"/>
      <c r="T90" s="199"/>
      <c r="U90" s="186"/>
      <c r="V90" s="200"/>
      <c r="W90" s="199"/>
      <c r="X90" s="199"/>
    </row>
    <row r="91" spans="1:24" ht="12">
      <c r="A91" s="198"/>
      <c r="B91" s="199"/>
      <c r="C91" s="30"/>
      <c r="D91" s="30"/>
      <c r="E91" s="30"/>
      <c r="F91" s="199"/>
      <c r="G91" s="199"/>
      <c r="H91" s="199"/>
      <c r="I91" s="199"/>
      <c r="J91" s="30"/>
      <c r="K91" s="30"/>
      <c r="L91" s="199"/>
      <c r="M91" s="199"/>
      <c r="N91" s="30"/>
      <c r="O91" s="199"/>
      <c r="P91" s="199"/>
      <c r="Q91" s="30"/>
      <c r="R91" s="199"/>
      <c r="S91" s="199"/>
      <c r="T91" s="199"/>
      <c r="U91" s="186"/>
      <c r="V91" s="200"/>
      <c r="W91" s="199"/>
      <c r="X91" s="199"/>
    </row>
    <row r="92" spans="1:24" ht="12">
      <c r="A92" s="198"/>
      <c r="B92" s="199"/>
      <c r="C92" s="30"/>
      <c r="D92" s="199"/>
      <c r="E92" s="30"/>
      <c r="F92" s="199"/>
      <c r="G92" s="199"/>
      <c r="H92" s="199"/>
      <c r="I92" s="199"/>
      <c r="J92" s="199"/>
      <c r="K92" s="30"/>
      <c r="L92" s="199"/>
      <c r="M92" s="199"/>
      <c r="N92" s="30"/>
      <c r="O92" s="199"/>
      <c r="P92" s="199"/>
      <c r="Q92" s="30"/>
      <c r="R92" s="199"/>
      <c r="S92" s="199"/>
      <c r="T92" s="199"/>
      <c r="U92" s="186"/>
      <c r="V92" s="200"/>
      <c r="W92" s="199"/>
      <c r="X92" s="199"/>
    </row>
    <row r="93" spans="1:24" ht="12">
      <c r="A93" s="201"/>
      <c r="B93" s="202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186"/>
      <c r="V93" s="203"/>
      <c r="W93" s="202"/>
      <c r="X93" s="202"/>
    </row>
    <row r="94" spans="1:24" ht="12">
      <c r="A94" s="30"/>
      <c r="B94" s="199"/>
      <c r="C94" s="30"/>
      <c r="D94" s="199"/>
      <c r="E94" s="30"/>
      <c r="F94" s="199"/>
      <c r="G94" s="199"/>
      <c r="H94" s="199"/>
      <c r="I94" s="199"/>
      <c r="J94" s="199"/>
      <c r="K94" s="30"/>
      <c r="L94" s="199"/>
      <c r="M94" s="199"/>
      <c r="N94" s="30"/>
      <c r="O94" s="199"/>
      <c r="P94" s="30"/>
      <c r="Q94" s="30"/>
      <c r="R94" s="199"/>
      <c r="S94" s="199"/>
      <c r="T94" s="199"/>
      <c r="U94" s="186"/>
      <c r="V94" s="200"/>
      <c r="W94" s="199"/>
      <c r="X94" s="199"/>
    </row>
    <row r="95" spans="1:24" ht="12">
      <c r="A95" s="160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4"/>
      <c r="W95" s="160"/>
      <c r="X95" s="160"/>
    </row>
    <row r="96" spans="1:24" ht="12">
      <c r="A96" s="204"/>
      <c r="B96" s="205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6"/>
      <c r="V96" s="203"/>
      <c r="W96" s="202"/>
      <c r="X96" s="202"/>
    </row>
  </sheetData>
  <sheetProtection/>
  <mergeCells count="2">
    <mergeCell ref="A1:L1"/>
    <mergeCell ref="B3:T3"/>
  </mergeCells>
  <printOptions/>
  <pageMargins left="0.5511811023622047" right="0.2362204724409449" top="0.5511811023622047" bottom="0.1968503937007874" header="0.5118110236220472" footer="0.2362204724409449"/>
  <pageSetup fitToHeight="1" fitToWidth="1" orientation="portrait" paperSize="9" scale="65" r:id="rId1"/>
  <headerFooter alignWithMargins="0">
    <oddHeader>&amp;R&amp;F</oddHeader>
    <oddFooter>&amp;LComune di Bologna - Dipartimento Programmazione - Settore Statistica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6"/>
  <sheetViews>
    <sheetView showZeros="0" zoomScalePageLayoutView="0" workbookViewId="0" topLeftCell="A7">
      <selection activeCell="T1" sqref="T1:T16384"/>
    </sheetView>
  </sheetViews>
  <sheetFormatPr defaultColWidth="10.875" defaultRowHeight="12"/>
  <cols>
    <col min="1" max="1" width="30.875" style="139" customWidth="1"/>
    <col min="2" max="2" width="6.00390625" style="139" customWidth="1"/>
    <col min="3" max="3" width="6.125" style="139" customWidth="1"/>
    <col min="4" max="4" width="7.625" style="139" customWidth="1"/>
    <col min="5" max="5" width="7.375" style="139" customWidth="1"/>
    <col min="6" max="10" width="7.625" style="139" customWidth="1"/>
    <col min="11" max="11" width="9.75390625" style="139" customWidth="1"/>
    <col min="12" max="15" width="7.625" style="139" customWidth="1"/>
    <col min="16" max="16" width="9.875" style="139" customWidth="1"/>
    <col min="17" max="19" width="7.625" style="139" customWidth="1"/>
    <col min="20" max="20" width="9.00390625" style="139" customWidth="1"/>
    <col min="21" max="21" width="7.125" style="139" customWidth="1"/>
    <col min="22" max="23" width="9.875" style="139" customWidth="1"/>
    <col min="24" max="16384" width="10.875" style="139" customWidth="1"/>
  </cols>
  <sheetData>
    <row r="1" spans="1:22" s="121" customFormat="1" ht="15" customHeight="1">
      <c r="A1" s="272" t="s">
        <v>102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109"/>
      <c r="N1" s="109"/>
      <c r="O1" s="118"/>
      <c r="P1" s="118"/>
      <c r="Q1" s="118"/>
      <c r="R1" s="118"/>
      <c r="S1" s="119" t="s">
        <v>0</v>
      </c>
      <c r="T1" s="118"/>
      <c r="U1" s="119"/>
      <c r="V1" s="120"/>
    </row>
    <row r="2" spans="1:22" s="132" customFormat="1" ht="15">
      <c r="A2" s="122" t="s">
        <v>122</v>
      </c>
      <c r="B2" s="123"/>
      <c r="C2" s="123"/>
      <c r="D2" s="124"/>
      <c r="E2" s="123"/>
      <c r="F2" s="125"/>
      <c r="G2" s="124"/>
      <c r="H2" s="126"/>
      <c r="I2" s="123"/>
      <c r="J2" s="127"/>
      <c r="K2" s="128" t="s">
        <v>0</v>
      </c>
      <c r="L2" s="123"/>
      <c r="M2" s="123"/>
      <c r="N2" s="123"/>
      <c r="O2" s="123"/>
      <c r="P2" s="123"/>
      <c r="Q2" s="123"/>
      <c r="R2" s="127"/>
      <c r="S2" s="129"/>
      <c r="T2" s="123"/>
      <c r="U2" s="130"/>
      <c r="V2" s="131"/>
    </row>
    <row r="3" spans="1:22" s="136" customFormat="1" ht="12">
      <c r="A3" s="133"/>
      <c r="B3" s="271" t="s">
        <v>2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134" t="s">
        <v>103</v>
      </c>
      <c r="V3" s="135"/>
    </row>
    <row r="4" spans="1:22" ht="12">
      <c r="A4" s="133"/>
      <c r="B4" s="137" t="s">
        <v>14</v>
      </c>
      <c r="C4" s="23" t="s">
        <v>77</v>
      </c>
      <c r="D4" s="23" t="s">
        <v>11</v>
      </c>
      <c r="E4" s="23" t="s">
        <v>17</v>
      </c>
      <c r="F4" s="23" t="s">
        <v>7</v>
      </c>
      <c r="G4" s="137" t="s">
        <v>89</v>
      </c>
      <c r="H4" s="23" t="s">
        <v>5</v>
      </c>
      <c r="I4" s="137" t="s">
        <v>13</v>
      </c>
      <c r="J4" s="23" t="s">
        <v>8</v>
      </c>
      <c r="K4" s="23" t="s">
        <v>15</v>
      </c>
      <c r="L4" s="23" t="s">
        <v>10</v>
      </c>
      <c r="M4" s="23" t="s">
        <v>10</v>
      </c>
      <c r="N4" s="23" t="s">
        <v>16</v>
      </c>
      <c r="O4" s="137" t="s">
        <v>6</v>
      </c>
      <c r="P4" s="23" t="s">
        <v>6</v>
      </c>
      <c r="Q4" s="23" t="s">
        <v>79</v>
      </c>
      <c r="R4" s="23" t="s">
        <v>6</v>
      </c>
      <c r="S4" s="23" t="s">
        <v>6</v>
      </c>
      <c r="T4" s="137" t="s">
        <v>9</v>
      </c>
      <c r="U4" s="137"/>
      <c r="V4" s="138"/>
    </row>
    <row r="5" spans="1:22" ht="12">
      <c r="A5" s="133"/>
      <c r="B5" s="137" t="s">
        <v>31</v>
      </c>
      <c r="C5" s="23" t="s">
        <v>78</v>
      </c>
      <c r="D5" s="23" t="s">
        <v>28</v>
      </c>
      <c r="E5" s="23" t="s">
        <v>35</v>
      </c>
      <c r="F5" s="23" t="s">
        <v>21</v>
      </c>
      <c r="G5" s="23" t="s">
        <v>29</v>
      </c>
      <c r="H5" s="23" t="s">
        <v>19</v>
      </c>
      <c r="I5" s="137" t="s">
        <v>30</v>
      </c>
      <c r="J5" s="23" t="s">
        <v>23</v>
      </c>
      <c r="K5" s="23" t="s">
        <v>33</v>
      </c>
      <c r="L5" s="23" t="s">
        <v>26</v>
      </c>
      <c r="M5" s="23" t="s">
        <v>32</v>
      </c>
      <c r="N5" s="23" t="s">
        <v>34</v>
      </c>
      <c r="O5" s="137" t="s">
        <v>24</v>
      </c>
      <c r="P5" s="23" t="s">
        <v>96</v>
      </c>
      <c r="Q5" s="23" t="s">
        <v>84</v>
      </c>
      <c r="R5" s="23" t="s">
        <v>20</v>
      </c>
      <c r="S5" s="137" t="s">
        <v>22</v>
      </c>
      <c r="T5" s="137" t="s">
        <v>101</v>
      </c>
      <c r="U5" s="137"/>
      <c r="V5" s="138"/>
    </row>
    <row r="6" spans="1:22" ht="12">
      <c r="A6" s="30"/>
      <c r="B6" s="30"/>
      <c r="C6" s="23"/>
      <c r="D6" s="23" t="s">
        <v>44</v>
      </c>
      <c r="E6" s="23" t="s">
        <v>46</v>
      </c>
      <c r="F6" s="137"/>
      <c r="G6" s="30"/>
      <c r="H6" s="23" t="s">
        <v>36</v>
      </c>
      <c r="I6" s="30"/>
      <c r="J6" s="23" t="s">
        <v>39</v>
      </c>
      <c r="K6" s="23" t="s">
        <v>95</v>
      </c>
      <c r="L6" s="23" t="s">
        <v>42</v>
      </c>
      <c r="M6" s="23" t="s">
        <v>45</v>
      </c>
      <c r="N6" s="23"/>
      <c r="O6" s="29" t="s">
        <v>40</v>
      </c>
      <c r="P6" s="23" t="s">
        <v>97</v>
      </c>
      <c r="Q6" s="23" t="s">
        <v>85</v>
      </c>
      <c r="R6" s="23" t="s">
        <v>37</v>
      </c>
      <c r="S6" s="137" t="s">
        <v>38</v>
      </c>
      <c r="T6" s="137" t="s">
        <v>99</v>
      </c>
      <c r="U6" s="137"/>
      <c r="V6" s="138"/>
    </row>
    <row r="7" spans="1:22" s="132" customFormat="1" ht="12">
      <c r="A7" s="140"/>
      <c r="B7" s="141"/>
      <c r="C7" s="142"/>
      <c r="D7" s="141"/>
      <c r="E7" s="142" t="s">
        <v>93</v>
      </c>
      <c r="F7" s="141"/>
      <c r="G7" s="141"/>
      <c r="H7" s="140"/>
      <c r="I7" s="141"/>
      <c r="J7" s="142" t="s">
        <v>47</v>
      </c>
      <c r="K7" s="142" t="s">
        <v>94</v>
      </c>
      <c r="L7" s="142" t="s">
        <v>50</v>
      </c>
      <c r="M7" s="142" t="s">
        <v>51</v>
      </c>
      <c r="N7" s="142"/>
      <c r="O7" s="141" t="s">
        <v>48</v>
      </c>
      <c r="P7" s="142" t="s">
        <v>98</v>
      </c>
      <c r="Q7" s="142"/>
      <c r="R7" s="141"/>
      <c r="S7" s="141"/>
      <c r="T7" s="141" t="s">
        <v>100</v>
      </c>
      <c r="U7" s="141"/>
      <c r="V7" s="131"/>
    </row>
    <row r="8" spans="2:22" s="136" customFormat="1" ht="12">
      <c r="B8" s="143"/>
      <c r="C8" s="143"/>
      <c r="E8" s="143"/>
      <c r="F8" s="143"/>
      <c r="G8" s="143"/>
      <c r="H8" s="143"/>
      <c r="I8" s="143"/>
      <c r="J8" s="144"/>
      <c r="K8" s="143" t="s">
        <v>54</v>
      </c>
      <c r="L8" s="143"/>
      <c r="M8" s="143"/>
      <c r="N8" s="143"/>
      <c r="O8" s="143"/>
      <c r="P8" s="145"/>
      <c r="Q8" s="143"/>
      <c r="R8" s="143"/>
      <c r="S8" s="143"/>
      <c r="T8" s="143"/>
      <c r="U8" s="143"/>
      <c r="V8" s="135"/>
    </row>
    <row r="9" spans="1:66" s="121" customFormat="1" ht="12">
      <c r="A9" s="146" t="s">
        <v>104</v>
      </c>
      <c r="B9" s="147"/>
      <c r="C9" s="147"/>
      <c r="D9" s="148"/>
      <c r="E9" s="148"/>
      <c r="F9" s="148"/>
      <c r="G9" s="148"/>
      <c r="H9" s="147"/>
      <c r="I9" s="148"/>
      <c r="J9" s="148"/>
      <c r="K9" s="147"/>
      <c r="L9" s="148"/>
      <c r="M9" s="148"/>
      <c r="N9" s="148"/>
      <c r="O9" s="148"/>
      <c r="P9" s="148"/>
      <c r="Q9" s="148"/>
      <c r="R9" s="147"/>
      <c r="S9" s="147"/>
      <c r="T9" s="147"/>
      <c r="U9" s="149"/>
      <c r="V9" s="150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</row>
    <row r="10" spans="1:66" ht="12">
      <c r="A10" s="152" t="s">
        <v>105</v>
      </c>
      <c r="B10" s="147"/>
      <c r="C10" s="153"/>
      <c r="D10" s="153">
        <v>0</v>
      </c>
      <c r="E10" s="153">
        <v>1</v>
      </c>
      <c r="F10" s="148">
        <v>2</v>
      </c>
      <c r="G10" s="154">
        <v>1</v>
      </c>
      <c r="H10" s="154">
        <v>4</v>
      </c>
      <c r="I10" s="148">
        <v>3</v>
      </c>
      <c r="J10" s="154">
        <v>7</v>
      </c>
      <c r="K10" s="154">
        <v>1</v>
      </c>
      <c r="L10" s="154">
        <v>4</v>
      </c>
      <c r="M10" s="154">
        <v>0</v>
      </c>
      <c r="N10" s="148">
        <v>1</v>
      </c>
      <c r="O10" s="148">
        <v>1091</v>
      </c>
      <c r="P10" s="154">
        <v>2</v>
      </c>
      <c r="Q10" s="154">
        <v>1</v>
      </c>
      <c r="R10" s="147">
        <v>1</v>
      </c>
      <c r="S10" s="147"/>
      <c r="T10" s="154">
        <v>0</v>
      </c>
      <c r="U10" s="149">
        <f>SUM(B10:T10)</f>
        <v>1119</v>
      </c>
      <c r="V10" s="150"/>
      <c r="W10" s="155"/>
      <c r="X10" s="155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</row>
    <row r="11" spans="1:66" ht="12">
      <c r="A11" s="152" t="s">
        <v>106</v>
      </c>
      <c r="B11" s="147">
        <v>242</v>
      </c>
      <c r="C11" s="153"/>
      <c r="D11" s="153">
        <v>48</v>
      </c>
      <c r="E11" s="153">
        <v>586</v>
      </c>
      <c r="F11" s="148">
        <v>1110</v>
      </c>
      <c r="G11" s="154">
        <v>761</v>
      </c>
      <c r="H11" s="148">
        <v>3583</v>
      </c>
      <c r="I11" s="148">
        <v>2206</v>
      </c>
      <c r="J11" s="148">
        <v>4167</v>
      </c>
      <c r="K11" s="154">
        <v>689</v>
      </c>
      <c r="L11" s="154">
        <v>292</v>
      </c>
      <c r="M11" s="154">
        <v>142</v>
      </c>
      <c r="N11" s="148">
        <v>364</v>
      </c>
      <c r="O11" s="154">
        <v>893</v>
      </c>
      <c r="P11" s="148">
        <v>1019</v>
      </c>
      <c r="Q11" s="154">
        <v>259</v>
      </c>
      <c r="R11" s="147">
        <v>1653</v>
      </c>
      <c r="S11" s="147">
        <v>99</v>
      </c>
      <c r="T11" s="154">
        <v>105</v>
      </c>
      <c r="U11" s="149">
        <f>SUM(B11:T11)</f>
        <v>18218</v>
      </c>
      <c r="V11" s="150"/>
      <c r="W11" s="155"/>
      <c r="X11" s="155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</row>
    <row r="12" spans="1:66" ht="12">
      <c r="A12" s="152" t="s">
        <v>107</v>
      </c>
      <c r="B12" s="157">
        <f aca="true" t="shared" si="0" ref="B12:U12">+B10+B11</f>
        <v>242</v>
      </c>
      <c r="C12" s="157">
        <f t="shared" si="0"/>
        <v>0</v>
      </c>
      <c r="D12" s="157">
        <f t="shared" si="0"/>
        <v>48</v>
      </c>
      <c r="E12" s="157">
        <f t="shared" si="0"/>
        <v>587</v>
      </c>
      <c r="F12" s="157">
        <f t="shared" si="0"/>
        <v>1112</v>
      </c>
      <c r="G12" s="157">
        <f t="shared" si="0"/>
        <v>762</v>
      </c>
      <c r="H12" s="157">
        <f t="shared" si="0"/>
        <v>3587</v>
      </c>
      <c r="I12" s="157">
        <f t="shared" si="0"/>
        <v>2209</v>
      </c>
      <c r="J12" s="157">
        <f t="shared" si="0"/>
        <v>4174</v>
      </c>
      <c r="K12" s="157">
        <f t="shared" si="0"/>
        <v>690</v>
      </c>
      <c r="L12" s="157">
        <f t="shared" si="0"/>
        <v>296</v>
      </c>
      <c r="M12" s="157">
        <f t="shared" si="0"/>
        <v>142</v>
      </c>
      <c r="N12" s="157">
        <f t="shared" si="0"/>
        <v>365</v>
      </c>
      <c r="O12" s="157">
        <f t="shared" si="0"/>
        <v>1984</v>
      </c>
      <c r="P12" s="157">
        <f t="shared" si="0"/>
        <v>1021</v>
      </c>
      <c r="Q12" s="157">
        <f t="shared" si="0"/>
        <v>260</v>
      </c>
      <c r="R12" s="157">
        <f t="shared" si="0"/>
        <v>1654</v>
      </c>
      <c r="S12" s="157">
        <f t="shared" si="0"/>
        <v>99</v>
      </c>
      <c r="T12" s="157">
        <f t="shared" si="0"/>
        <v>105</v>
      </c>
      <c r="U12" s="157">
        <f t="shared" si="0"/>
        <v>19337</v>
      </c>
      <c r="V12" s="158"/>
      <c r="W12" s="155"/>
      <c r="X12" s="155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</row>
    <row r="13" spans="1:66" ht="12">
      <c r="A13" s="146" t="s">
        <v>108</v>
      </c>
      <c r="B13" s="147"/>
      <c r="C13" s="148"/>
      <c r="D13" s="148"/>
      <c r="E13" s="148"/>
      <c r="F13" s="148"/>
      <c r="G13" s="148"/>
      <c r="H13" s="147"/>
      <c r="I13" s="148"/>
      <c r="J13" s="148"/>
      <c r="K13" s="147"/>
      <c r="L13" s="148"/>
      <c r="M13" s="148"/>
      <c r="N13" s="148"/>
      <c r="O13" s="148"/>
      <c r="P13" s="148"/>
      <c r="Q13" s="148"/>
      <c r="R13" s="147"/>
      <c r="S13" s="147"/>
      <c r="T13" s="147"/>
      <c r="U13" s="149"/>
      <c r="V13" s="158"/>
      <c r="W13" s="155"/>
      <c r="X13" s="155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</row>
    <row r="14" spans="1:66" ht="12">
      <c r="A14" s="152" t="s">
        <v>105</v>
      </c>
      <c r="B14" s="147"/>
      <c r="C14" s="153"/>
      <c r="D14" s="153"/>
      <c r="E14" s="153">
        <v>0</v>
      </c>
      <c r="F14" s="148"/>
      <c r="G14" s="148"/>
      <c r="H14" s="147"/>
      <c r="I14" s="148"/>
      <c r="J14" s="148"/>
      <c r="K14" s="147"/>
      <c r="L14" s="148">
        <v>1</v>
      </c>
      <c r="M14" s="148"/>
      <c r="N14" s="148"/>
      <c r="O14" s="154"/>
      <c r="P14" s="148"/>
      <c r="Q14" s="148"/>
      <c r="R14" s="147"/>
      <c r="S14" s="147"/>
      <c r="T14" s="147"/>
      <c r="U14" s="149">
        <f>SUM(B14:T14)</f>
        <v>1</v>
      </c>
      <c r="V14" s="158"/>
      <c r="W14" s="155"/>
      <c r="X14" s="155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</row>
    <row r="15" spans="1:66" s="162" customFormat="1" ht="12">
      <c r="A15" s="152" t="s">
        <v>106</v>
      </c>
      <c r="B15" s="159">
        <v>3</v>
      </c>
      <c r="C15" s="153"/>
      <c r="D15" s="153"/>
      <c r="E15" s="153">
        <v>35</v>
      </c>
      <c r="F15" s="159">
        <v>15</v>
      </c>
      <c r="G15" s="159">
        <v>3</v>
      </c>
      <c r="H15" s="159">
        <v>8</v>
      </c>
      <c r="I15" s="159">
        <v>34</v>
      </c>
      <c r="J15" s="159">
        <v>1</v>
      </c>
      <c r="K15" s="159"/>
      <c r="L15" s="159">
        <v>7</v>
      </c>
      <c r="M15" s="159">
        <v>1</v>
      </c>
      <c r="N15" s="159"/>
      <c r="O15" s="154">
        <v>3</v>
      </c>
      <c r="P15" s="159"/>
      <c r="Q15" s="159"/>
      <c r="R15" s="159">
        <v>3</v>
      </c>
      <c r="S15" s="159">
        <v>12</v>
      </c>
      <c r="T15" s="160"/>
      <c r="U15" s="149">
        <f>SUM(B15:T15)</f>
        <v>125</v>
      </c>
      <c r="V15" s="160"/>
      <c r="W15" s="155"/>
      <c r="X15" s="155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</row>
    <row r="16" spans="1:66" ht="12">
      <c r="A16" s="152" t="s">
        <v>107</v>
      </c>
      <c r="B16" s="157">
        <f aca="true" t="shared" si="1" ref="B16:U16">+B14+B15</f>
        <v>3</v>
      </c>
      <c r="C16" s="157">
        <f t="shared" si="1"/>
        <v>0</v>
      </c>
      <c r="D16" s="157">
        <f t="shared" si="1"/>
        <v>0</v>
      </c>
      <c r="E16" s="157">
        <f t="shared" si="1"/>
        <v>35</v>
      </c>
      <c r="F16" s="157">
        <f t="shared" si="1"/>
        <v>15</v>
      </c>
      <c r="G16" s="157">
        <f t="shared" si="1"/>
        <v>3</v>
      </c>
      <c r="H16" s="157">
        <f t="shared" si="1"/>
        <v>8</v>
      </c>
      <c r="I16" s="157">
        <f t="shared" si="1"/>
        <v>34</v>
      </c>
      <c r="J16" s="157">
        <f t="shared" si="1"/>
        <v>1</v>
      </c>
      <c r="K16" s="157">
        <f t="shared" si="1"/>
        <v>0</v>
      </c>
      <c r="L16" s="157">
        <f t="shared" si="1"/>
        <v>8</v>
      </c>
      <c r="M16" s="157">
        <f t="shared" si="1"/>
        <v>1</v>
      </c>
      <c r="N16" s="157">
        <f t="shared" si="1"/>
        <v>0</v>
      </c>
      <c r="O16" s="157">
        <f t="shared" si="1"/>
        <v>3</v>
      </c>
      <c r="P16" s="157">
        <f t="shared" si="1"/>
        <v>0</v>
      </c>
      <c r="Q16" s="157">
        <f t="shared" si="1"/>
        <v>0</v>
      </c>
      <c r="R16" s="157">
        <f t="shared" si="1"/>
        <v>3</v>
      </c>
      <c r="S16" s="157">
        <f t="shared" si="1"/>
        <v>12</v>
      </c>
      <c r="T16" s="157">
        <f t="shared" si="1"/>
        <v>0</v>
      </c>
      <c r="U16" s="157">
        <f t="shared" si="1"/>
        <v>126</v>
      </c>
      <c r="V16" s="158"/>
      <c r="W16" s="155"/>
      <c r="X16" s="155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</row>
    <row r="17" spans="1:66" s="166" customFormat="1" ht="12">
      <c r="A17" s="146" t="s">
        <v>109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48"/>
      <c r="S17" s="163"/>
      <c r="T17" s="163"/>
      <c r="U17" s="149"/>
      <c r="V17" s="164"/>
      <c r="W17" s="155"/>
      <c r="X17" s="15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</row>
    <row r="18" spans="1:66" ht="13.5" customHeight="1">
      <c r="A18" s="152" t="s">
        <v>105</v>
      </c>
      <c r="B18" s="153">
        <v>912</v>
      </c>
      <c r="C18" s="153">
        <v>77</v>
      </c>
      <c r="D18" s="153">
        <v>232</v>
      </c>
      <c r="E18" s="153">
        <v>663</v>
      </c>
      <c r="F18" s="148">
        <v>6299</v>
      </c>
      <c r="G18" s="154">
        <v>232</v>
      </c>
      <c r="H18" s="154">
        <v>4065</v>
      </c>
      <c r="I18" s="148">
        <v>4829</v>
      </c>
      <c r="J18" s="148">
        <v>8177</v>
      </c>
      <c r="K18" s="148">
        <v>1887</v>
      </c>
      <c r="L18" s="148">
        <v>2350</v>
      </c>
      <c r="M18" s="154">
        <v>139</v>
      </c>
      <c r="N18" s="154">
        <v>805</v>
      </c>
      <c r="O18" s="148">
        <v>2552</v>
      </c>
      <c r="P18" s="148">
        <v>3597</v>
      </c>
      <c r="Q18" s="154">
        <v>788</v>
      </c>
      <c r="R18" s="148">
        <v>4874</v>
      </c>
      <c r="S18" s="154">
        <v>439</v>
      </c>
      <c r="T18" s="154">
        <v>499</v>
      </c>
      <c r="U18" s="149">
        <f>SUM(B18:T18)</f>
        <v>43416</v>
      </c>
      <c r="V18" s="167"/>
      <c r="W18" s="168"/>
      <c r="X18" s="168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</row>
    <row r="19" spans="1:38" ht="12">
      <c r="A19" s="152" t="s">
        <v>106</v>
      </c>
      <c r="B19" s="153">
        <v>365</v>
      </c>
      <c r="C19" s="153">
        <v>0</v>
      </c>
      <c r="D19" s="153">
        <v>62</v>
      </c>
      <c r="E19" s="153">
        <v>354</v>
      </c>
      <c r="F19" s="148">
        <v>3072</v>
      </c>
      <c r="G19" s="154">
        <v>95</v>
      </c>
      <c r="H19" s="154">
        <v>1621</v>
      </c>
      <c r="I19" s="148">
        <v>2333</v>
      </c>
      <c r="J19" s="148">
        <v>2584</v>
      </c>
      <c r="K19" s="154">
        <v>618</v>
      </c>
      <c r="L19" s="154">
        <v>219</v>
      </c>
      <c r="M19" s="154">
        <v>36</v>
      </c>
      <c r="N19" s="154">
        <v>228</v>
      </c>
      <c r="O19" s="148">
        <v>1039</v>
      </c>
      <c r="P19" s="148">
        <v>1504</v>
      </c>
      <c r="Q19" s="154">
        <v>193</v>
      </c>
      <c r="R19" s="148">
        <v>1730</v>
      </c>
      <c r="S19" s="154">
        <v>142</v>
      </c>
      <c r="T19" s="154">
        <v>63</v>
      </c>
      <c r="U19" s="149">
        <f>SUM(B19:T19)</f>
        <v>16258</v>
      </c>
      <c r="V19" s="167"/>
      <c r="W19" s="168"/>
      <c r="X19" s="168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</row>
    <row r="20" spans="1:66" ht="12">
      <c r="A20" s="152" t="s">
        <v>107</v>
      </c>
      <c r="B20" s="157">
        <f aca="true" t="shared" si="2" ref="B20:U20">+B18+B19</f>
        <v>1277</v>
      </c>
      <c r="C20" s="157">
        <f t="shared" si="2"/>
        <v>77</v>
      </c>
      <c r="D20" s="157">
        <f t="shared" si="2"/>
        <v>294</v>
      </c>
      <c r="E20" s="157">
        <f t="shared" si="2"/>
        <v>1017</v>
      </c>
      <c r="F20" s="157">
        <f t="shared" si="2"/>
        <v>9371</v>
      </c>
      <c r="G20" s="157">
        <f t="shared" si="2"/>
        <v>327</v>
      </c>
      <c r="H20" s="157">
        <f t="shared" si="2"/>
        <v>5686</v>
      </c>
      <c r="I20" s="157">
        <f t="shared" si="2"/>
        <v>7162</v>
      </c>
      <c r="J20" s="157">
        <f t="shared" si="2"/>
        <v>10761</v>
      </c>
      <c r="K20" s="157">
        <f t="shared" si="2"/>
        <v>2505</v>
      </c>
      <c r="L20" s="157">
        <f t="shared" si="2"/>
        <v>2569</v>
      </c>
      <c r="M20" s="157">
        <f t="shared" si="2"/>
        <v>175</v>
      </c>
      <c r="N20" s="157">
        <f t="shared" si="2"/>
        <v>1033</v>
      </c>
      <c r="O20" s="157">
        <f t="shared" si="2"/>
        <v>3591</v>
      </c>
      <c r="P20" s="157">
        <f t="shared" si="2"/>
        <v>5101</v>
      </c>
      <c r="Q20" s="157">
        <f t="shared" si="2"/>
        <v>981</v>
      </c>
      <c r="R20" s="157">
        <f t="shared" si="2"/>
        <v>6604</v>
      </c>
      <c r="S20" s="157">
        <f t="shared" si="2"/>
        <v>581</v>
      </c>
      <c r="T20" s="157">
        <f t="shared" si="2"/>
        <v>562</v>
      </c>
      <c r="U20" s="157">
        <f t="shared" si="2"/>
        <v>59674</v>
      </c>
      <c r="V20" s="158"/>
      <c r="W20" s="155"/>
      <c r="X20" s="155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</row>
    <row r="21" spans="1:38" ht="24">
      <c r="A21" s="146" t="s">
        <v>110</v>
      </c>
      <c r="B21" s="169"/>
      <c r="C21" s="170"/>
      <c r="D21" s="170"/>
      <c r="E21" s="170"/>
      <c r="F21" s="169"/>
      <c r="G21" s="169"/>
      <c r="H21" s="171"/>
      <c r="I21" s="169"/>
      <c r="J21" s="172"/>
      <c r="K21" s="170"/>
      <c r="L21" s="172"/>
      <c r="M21" s="172"/>
      <c r="N21" s="170"/>
      <c r="O21" s="169"/>
      <c r="P21" s="172"/>
      <c r="Q21" s="170"/>
      <c r="R21" s="169"/>
      <c r="S21" s="169"/>
      <c r="T21" s="169"/>
      <c r="U21" s="149"/>
      <c r="V21" s="171"/>
      <c r="W21" s="171"/>
      <c r="X21" s="171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</row>
    <row r="22" spans="1:38" ht="12">
      <c r="A22" s="152" t="s">
        <v>105</v>
      </c>
      <c r="B22" s="153">
        <v>135</v>
      </c>
      <c r="C22" s="170"/>
      <c r="D22" s="153">
        <v>66</v>
      </c>
      <c r="E22" s="153">
        <v>113</v>
      </c>
      <c r="F22" s="150">
        <v>1265</v>
      </c>
      <c r="G22" s="154">
        <v>38</v>
      </c>
      <c r="H22" s="154">
        <v>874</v>
      </c>
      <c r="I22" s="150">
        <v>1568</v>
      </c>
      <c r="J22" s="148">
        <v>1721</v>
      </c>
      <c r="K22" s="154">
        <v>183</v>
      </c>
      <c r="L22" s="154">
        <v>64</v>
      </c>
      <c r="M22" s="154">
        <v>35</v>
      </c>
      <c r="N22" s="154">
        <v>470</v>
      </c>
      <c r="O22" s="154">
        <v>334</v>
      </c>
      <c r="P22" s="154">
        <v>762</v>
      </c>
      <c r="Q22" s="154">
        <v>51</v>
      </c>
      <c r="R22" s="150">
        <v>932</v>
      </c>
      <c r="S22" s="154">
        <v>120</v>
      </c>
      <c r="T22" s="150">
        <v>140</v>
      </c>
      <c r="U22" s="149">
        <f>SUM(B22:T22)</f>
        <v>8871</v>
      </c>
      <c r="V22" s="150"/>
      <c r="W22" s="150"/>
      <c r="X22" s="150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</row>
    <row r="23" spans="1:38" ht="12">
      <c r="A23" s="152" t="s">
        <v>106</v>
      </c>
      <c r="B23" s="153">
        <v>14</v>
      </c>
      <c r="C23" s="160"/>
      <c r="D23" s="153">
        <v>0</v>
      </c>
      <c r="E23" s="153">
        <v>9</v>
      </c>
      <c r="F23" s="159">
        <v>197</v>
      </c>
      <c r="G23" s="154">
        <v>1</v>
      </c>
      <c r="H23" s="154">
        <v>7</v>
      </c>
      <c r="I23" s="159">
        <v>311</v>
      </c>
      <c r="J23" s="154">
        <v>83</v>
      </c>
      <c r="K23" s="154">
        <v>14</v>
      </c>
      <c r="L23" s="160"/>
      <c r="M23" s="154">
        <v>5</v>
      </c>
      <c r="N23" s="154">
        <v>49</v>
      </c>
      <c r="O23" s="154">
        <v>61</v>
      </c>
      <c r="P23" s="154">
        <v>94</v>
      </c>
      <c r="Q23" s="154">
        <v>8</v>
      </c>
      <c r="R23" s="159">
        <v>120</v>
      </c>
      <c r="S23" s="154">
        <v>5</v>
      </c>
      <c r="T23" s="160"/>
      <c r="U23" s="149">
        <f>SUM(B23:T23)</f>
        <v>978</v>
      </c>
      <c r="V23" s="164"/>
      <c r="W23" s="160"/>
      <c r="X23" s="160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</row>
    <row r="24" spans="1:66" ht="12">
      <c r="A24" s="152" t="s">
        <v>107</v>
      </c>
      <c r="B24" s="157">
        <f aca="true" t="shared" si="3" ref="B24:U24">+B22+B23</f>
        <v>149</v>
      </c>
      <c r="C24" s="157">
        <f t="shared" si="3"/>
        <v>0</v>
      </c>
      <c r="D24" s="157">
        <f t="shared" si="3"/>
        <v>66</v>
      </c>
      <c r="E24" s="157">
        <f t="shared" si="3"/>
        <v>122</v>
      </c>
      <c r="F24" s="157">
        <f t="shared" si="3"/>
        <v>1462</v>
      </c>
      <c r="G24" s="157">
        <f t="shared" si="3"/>
        <v>39</v>
      </c>
      <c r="H24" s="157">
        <f t="shared" si="3"/>
        <v>881</v>
      </c>
      <c r="I24" s="157">
        <f t="shared" si="3"/>
        <v>1879</v>
      </c>
      <c r="J24" s="157">
        <f t="shared" si="3"/>
        <v>1804</v>
      </c>
      <c r="K24" s="157">
        <f t="shared" si="3"/>
        <v>197</v>
      </c>
      <c r="L24" s="157">
        <f t="shared" si="3"/>
        <v>64</v>
      </c>
      <c r="M24" s="157">
        <f t="shared" si="3"/>
        <v>40</v>
      </c>
      <c r="N24" s="157">
        <f t="shared" si="3"/>
        <v>519</v>
      </c>
      <c r="O24" s="157">
        <f t="shared" si="3"/>
        <v>395</v>
      </c>
      <c r="P24" s="157">
        <f t="shared" si="3"/>
        <v>856</v>
      </c>
      <c r="Q24" s="157">
        <f t="shared" si="3"/>
        <v>59</v>
      </c>
      <c r="R24" s="157">
        <f t="shared" si="3"/>
        <v>1052</v>
      </c>
      <c r="S24" s="157">
        <f t="shared" si="3"/>
        <v>125</v>
      </c>
      <c r="T24" s="157">
        <f t="shared" si="3"/>
        <v>140</v>
      </c>
      <c r="U24" s="157">
        <f t="shared" si="3"/>
        <v>9849</v>
      </c>
      <c r="V24" s="158"/>
      <c r="W24" s="155"/>
      <c r="X24" s="155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</row>
    <row r="25" spans="1:38" ht="12">
      <c r="A25" s="146" t="s">
        <v>111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49"/>
      <c r="V25" s="163"/>
      <c r="W25" s="173"/>
      <c r="X25" s="173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</row>
    <row r="26" spans="1:38" ht="12">
      <c r="A26" s="152" t="s">
        <v>105</v>
      </c>
      <c r="B26" s="174"/>
      <c r="C26" s="153">
        <v>471</v>
      </c>
      <c r="D26" s="156"/>
      <c r="E26" s="156"/>
      <c r="F26" s="174"/>
      <c r="G26" s="148">
        <v>1497</v>
      </c>
      <c r="H26" s="175"/>
      <c r="I26" s="154">
        <v>712</v>
      </c>
      <c r="J26" s="174"/>
      <c r="K26" s="176"/>
      <c r="L26" s="148">
        <v>2300</v>
      </c>
      <c r="M26" s="154">
        <v>714</v>
      </c>
      <c r="N26" s="176"/>
      <c r="O26" s="174"/>
      <c r="P26" s="174"/>
      <c r="Q26" s="176"/>
      <c r="R26" s="175"/>
      <c r="S26" s="174"/>
      <c r="T26" s="174"/>
      <c r="U26" s="149">
        <f>SUM(B26:T26)</f>
        <v>5694</v>
      </c>
      <c r="V26" s="177"/>
      <c r="W26" s="159"/>
      <c r="X26" s="159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</row>
    <row r="27" spans="1:38" ht="12">
      <c r="A27" s="152" t="s">
        <v>106</v>
      </c>
      <c r="B27" s="178"/>
      <c r="C27" s="153">
        <v>137</v>
      </c>
      <c r="D27" s="156"/>
      <c r="E27" s="156"/>
      <c r="F27" s="178"/>
      <c r="G27" s="154">
        <v>70</v>
      </c>
      <c r="H27" s="178"/>
      <c r="I27" s="178">
        <v>404</v>
      </c>
      <c r="J27" s="178"/>
      <c r="K27" s="178"/>
      <c r="L27" s="154">
        <v>533</v>
      </c>
      <c r="M27" s="154">
        <v>393</v>
      </c>
      <c r="N27" s="178"/>
      <c r="O27" s="178"/>
      <c r="P27" s="178"/>
      <c r="Q27" s="178"/>
      <c r="R27" s="178"/>
      <c r="S27" s="178"/>
      <c r="T27" s="178"/>
      <c r="U27" s="149">
        <f>SUM(B27:T27)</f>
        <v>1537</v>
      </c>
      <c r="V27" s="150"/>
      <c r="W27" s="155"/>
      <c r="X27" s="155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</row>
    <row r="28" spans="1:66" ht="12">
      <c r="A28" s="152" t="s">
        <v>107</v>
      </c>
      <c r="B28" s="157">
        <f aca="true" t="shared" si="4" ref="B28:U28">+B26+B27</f>
        <v>0</v>
      </c>
      <c r="C28" s="157">
        <f t="shared" si="4"/>
        <v>608</v>
      </c>
      <c r="D28" s="157">
        <f t="shared" si="4"/>
        <v>0</v>
      </c>
      <c r="E28" s="157">
        <f t="shared" si="4"/>
        <v>0</v>
      </c>
      <c r="F28" s="157">
        <f t="shared" si="4"/>
        <v>0</v>
      </c>
      <c r="G28" s="157">
        <f t="shared" si="4"/>
        <v>1567</v>
      </c>
      <c r="H28" s="157">
        <f t="shared" si="4"/>
        <v>0</v>
      </c>
      <c r="I28" s="157">
        <f t="shared" si="4"/>
        <v>1116</v>
      </c>
      <c r="J28" s="157">
        <f t="shared" si="4"/>
        <v>0</v>
      </c>
      <c r="K28" s="157">
        <f t="shared" si="4"/>
        <v>0</v>
      </c>
      <c r="L28" s="157">
        <f t="shared" si="4"/>
        <v>2833</v>
      </c>
      <c r="M28" s="157">
        <f t="shared" si="4"/>
        <v>1107</v>
      </c>
      <c r="N28" s="157">
        <f t="shared" si="4"/>
        <v>0</v>
      </c>
      <c r="O28" s="157">
        <f t="shared" si="4"/>
        <v>0</v>
      </c>
      <c r="P28" s="157">
        <f t="shared" si="4"/>
        <v>0</v>
      </c>
      <c r="Q28" s="157">
        <f t="shared" si="4"/>
        <v>0</v>
      </c>
      <c r="R28" s="157">
        <f t="shared" si="4"/>
        <v>0</v>
      </c>
      <c r="S28" s="157">
        <f t="shared" si="4"/>
        <v>0</v>
      </c>
      <c r="T28" s="157">
        <f t="shared" si="4"/>
        <v>0</v>
      </c>
      <c r="U28" s="157">
        <f t="shared" si="4"/>
        <v>7231</v>
      </c>
      <c r="V28" s="158"/>
      <c r="W28" s="155"/>
      <c r="X28" s="155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</row>
    <row r="29" spans="1:38" ht="12">
      <c r="A29" s="146" t="s">
        <v>112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9"/>
      <c r="V29" s="150"/>
      <c r="W29" s="155"/>
      <c r="X29" s="155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</row>
    <row r="30" spans="1:24" ht="12">
      <c r="A30" s="152" t="s">
        <v>105</v>
      </c>
      <c r="B30" s="180">
        <f aca="true" t="shared" si="5" ref="B30:U30">+B26+B22+B18+B14+B10</f>
        <v>1047</v>
      </c>
      <c r="C30" s="180">
        <f t="shared" si="5"/>
        <v>548</v>
      </c>
      <c r="D30" s="180">
        <f t="shared" si="5"/>
        <v>298</v>
      </c>
      <c r="E30" s="180">
        <f t="shared" si="5"/>
        <v>777</v>
      </c>
      <c r="F30" s="180">
        <f t="shared" si="5"/>
        <v>7566</v>
      </c>
      <c r="G30" s="180">
        <f t="shared" si="5"/>
        <v>1768</v>
      </c>
      <c r="H30" s="180">
        <f t="shared" si="5"/>
        <v>4943</v>
      </c>
      <c r="I30" s="180">
        <f t="shared" si="5"/>
        <v>7112</v>
      </c>
      <c r="J30" s="180">
        <f t="shared" si="5"/>
        <v>9905</v>
      </c>
      <c r="K30" s="180">
        <f t="shared" si="5"/>
        <v>2071</v>
      </c>
      <c r="L30" s="180">
        <f t="shared" si="5"/>
        <v>4719</v>
      </c>
      <c r="M30" s="180">
        <f t="shared" si="5"/>
        <v>888</v>
      </c>
      <c r="N30" s="180">
        <f t="shared" si="5"/>
        <v>1276</v>
      </c>
      <c r="O30" s="180">
        <f t="shared" si="5"/>
        <v>3977</v>
      </c>
      <c r="P30" s="180">
        <f t="shared" si="5"/>
        <v>4361</v>
      </c>
      <c r="Q30" s="180">
        <f t="shared" si="5"/>
        <v>840</v>
      </c>
      <c r="R30" s="180">
        <f t="shared" si="5"/>
        <v>5807</v>
      </c>
      <c r="S30" s="180">
        <f t="shared" si="5"/>
        <v>559</v>
      </c>
      <c r="T30" s="180">
        <f t="shared" si="5"/>
        <v>639</v>
      </c>
      <c r="U30" s="180">
        <f t="shared" si="5"/>
        <v>59101</v>
      </c>
      <c r="V30" s="181"/>
      <c r="W30" s="182"/>
      <c r="X30" s="182"/>
    </row>
    <row r="31" spans="1:24" ht="12">
      <c r="A31" s="152" t="s">
        <v>106</v>
      </c>
      <c r="B31" s="180">
        <f aca="true" t="shared" si="6" ref="B31:U31">+B27+B23+B19+B15+B11</f>
        <v>624</v>
      </c>
      <c r="C31" s="180">
        <f t="shared" si="6"/>
        <v>137</v>
      </c>
      <c r="D31" s="180">
        <f t="shared" si="6"/>
        <v>110</v>
      </c>
      <c r="E31" s="180">
        <f t="shared" si="6"/>
        <v>984</v>
      </c>
      <c r="F31" s="180">
        <f t="shared" si="6"/>
        <v>4394</v>
      </c>
      <c r="G31" s="180">
        <f t="shared" si="6"/>
        <v>930</v>
      </c>
      <c r="H31" s="180">
        <f t="shared" si="6"/>
        <v>5219</v>
      </c>
      <c r="I31" s="180">
        <f t="shared" si="6"/>
        <v>5288</v>
      </c>
      <c r="J31" s="180">
        <f t="shared" si="6"/>
        <v>6835</v>
      </c>
      <c r="K31" s="180">
        <f t="shared" si="6"/>
        <v>1321</v>
      </c>
      <c r="L31" s="180">
        <f t="shared" si="6"/>
        <v>1051</v>
      </c>
      <c r="M31" s="180">
        <f t="shared" si="6"/>
        <v>577</v>
      </c>
      <c r="N31" s="180">
        <f t="shared" si="6"/>
        <v>641</v>
      </c>
      <c r="O31" s="180">
        <f t="shared" si="6"/>
        <v>1996</v>
      </c>
      <c r="P31" s="180">
        <f t="shared" si="6"/>
        <v>2617</v>
      </c>
      <c r="Q31" s="180">
        <f t="shared" si="6"/>
        <v>460</v>
      </c>
      <c r="R31" s="180">
        <f t="shared" si="6"/>
        <v>3506</v>
      </c>
      <c r="S31" s="180">
        <f t="shared" si="6"/>
        <v>258</v>
      </c>
      <c r="T31" s="180">
        <f t="shared" si="6"/>
        <v>168</v>
      </c>
      <c r="U31" s="180">
        <f t="shared" si="6"/>
        <v>37116</v>
      </c>
      <c r="V31" s="181"/>
      <c r="W31" s="182"/>
      <c r="X31" s="182"/>
    </row>
    <row r="32" spans="1:66" ht="12">
      <c r="A32" s="183" t="s">
        <v>107</v>
      </c>
      <c r="B32" s="184">
        <f aca="true" t="shared" si="7" ref="B32:U32">+B30+B31</f>
        <v>1671</v>
      </c>
      <c r="C32" s="184">
        <f t="shared" si="7"/>
        <v>685</v>
      </c>
      <c r="D32" s="184">
        <f t="shared" si="7"/>
        <v>408</v>
      </c>
      <c r="E32" s="184">
        <f t="shared" si="7"/>
        <v>1761</v>
      </c>
      <c r="F32" s="184">
        <f t="shared" si="7"/>
        <v>11960</v>
      </c>
      <c r="G32" s="184">
        <f t="shared" si="7"/>
        <v>2698</v>
      </c>
      <c r="H32" s="184">
        <f t="shared" si="7"/>
        <v>10162</v>
      </c>
      <c r="I32" s="184">
        <f t="shared" si="7"/>
        <v>12400</v>
      </c>
      <c r="J32" s="184">
        <f t="shared" si="7"/>
        <v>16740</v>
      </c>
      <c r="K32" s="184">
        <f t="shared" si="7"/>
        <v>3392</v>
      </c>
      <c r="L32" s="184">
        <f t="shared" si="7"/>
        <v>5770</v>
      </c>
      <c r="M32" s="184">
        <f t="shared" si="7"/>
        <v>1465</v>
      </c>
      <c r="N32" s="184">
        <f t="shared" si="7"/>
        <v>1917</v>
      </c>
      <c r="O32" s="184">
        <f t="shared" si="7"/>
        <v>5973</v>
      </c>
      <c r="P32" s="184">
        <f t="shared" si="7"/>
        <v>6978</v>
      </c>
      <c r="Q32" s="184">
        <f t="shared" si="7"/>
        <v>1300</v>
      </c>
      <c r="R32" s="184">
        <f t="shared" si="7"/>
        <v>9313</v>
      </c>
      <c r="S32" s="184">
        <f t="shared" si="7"/>
        <v>817</v>
      </c>
      <c r="T32" s="184">
        <f t="shared" si="7"/>
        <v>807</v>
      </c>
      <c r="U32" s="184">
        <f t="shared" si="7"/>
        <v>96217</v>
      </c>
      <c r="V32" s="158"/>
      <c r="W32" s="155"/>
      <c r="X32" s="155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</row>
    <row r="33" spans="1:24" ht="12">
      <c r="A33" s="73" t="s">
        <v>113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6"/>
      <c r="V33" s="187"/>
      <c r="W33" s="188"/>
      <c r="X33" s="188"/>
    </row>
    <row r="34" spans="1:24" ht="12">
      <c r="A34" s="77" t="s">
        <v>66</v>
      </c>
      <c r="B34" s="189"/>
      <c r="C34" s="180"/>
      <c r="D34" s="189"/>
      <c r="E34" s="180"/>
      <c r="F34" s="189"/>
      <c r="G34" s="189"/>
      <c r="H34" s="189"/>
      <c r="I34" s="189"/>
      <c r="J34" s="189"/>
      <c r="K34" s="180"/>
      <c r="L34" s="189"/>
      <c r="M34" s="189"/>
      <c r="N34" s="180"/>
      <c r="O34" s="189"/>
      <c r="P34" s="189"/>
      <c r="Q34" s="180"/>
      <c r="R34" s="189"/>
      <c r="S34" s="189"/>
      <c r="T34" s="189"/>
      <c r="U34" s="186"/>
      <c r="V34" s="190"/>
      <c r="W34" s="80"/>
      <c r="X34" s="80"/>
    </row>
    <row r="35" spans="1:24" ht="12">
      <c r="A35" s="191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92"/>
      <c r="W35" s="193"/>
      <c r="X35" s="193"/>
    </row>
    <row r="36" spans="1:24" ht="12">
      <c r="A36" s="194"/>
      <c r="B36" s="194"/>
      <c r="C36" s="30"/>
      <c r="D36" s="194"/>
      <c r="E36" s="30"/>
      <c r="F36" s="194"/>
      <c r="G36" s="194"/>
      <c r="H36" s="55"/>
      <c r="I36" s="194"/>
      <c r="J36" s="194"/>
      <c r="K36" s="30"/>
      <c r="L36" s="194"/>
      <c r="M36" s="194"/>
      <c r="N36" s="30"/>
      <c r="O36" s="194"/>
      <c r="P36" s="194"/>
      <c r="Q36" s="30"/>
      <c r="R36" s="55"/>
      <c r="S36" s="194"/>
      <c r="T36" s="194"/>
      <c r="U36" s="195"/>
      <c r="V36" s="196"/>
      <c r="W36" s="197"/>
      <c r="X36" s="197"/>
    </row>
    <row r="37" spans="1:24" ht="12">
      <c r="A37" s="198"/>
      <c r="B37" s="199"/>
      <c r="C37" s="30"/>
      <c r="D37" s="30"/>
      <c r="E37" s="30"/>
      <c r="F37" s="199"/>
      <c r="G37" s="199"/>
      <c r="H37" s="199"/>
      <c r="I37" s="199"/>
      <c r="J37" s="199"/>
      <c r="K37" s="30"/>
      <c r="L37" s="199"/>
      <c r="M37" s="199"/>
      <c r="N37" s="30"/>
      <c r="O37" s="199"/>
      <c r="P37" s="199"/>
      <c r="Q37" s="30"/>
      <c r="R37" s="199"/>
      <c r="S37" s="199"/>
      <c r="T37" s="199"/>
      <c r="U37" s="186"/>
      <c r="V37" s="200"/>
      <c r="W37" s="199"/>
      <c r="X37" s="199"/>
    </row>
    <row r="38" spans="1:24" ht="12">
      <c r="A38" s="198"/>
      <c r="B38" s="199"/>
      <c r="C38" s="30"/>
      <c r="D38" s="30"/>
      <c r="E38" s="30"/>
      <c r="F38" s="199"/>
      <c r="G38" s="199"/>
      <c r="H38" s="199"/>
      <c r="I38" s="199"/>
      <c r="J38" s="199"/>
      <c r="K38" s="30"/>
      <c r="L38" s="199"/>
      <c r="M38" s="199"/>
      <c r="N38" s="30"/>
      <c r="O38" s="199"/>
      <c r="P38" s="199"/>
      <c r="Q38" s="30"/>
      <c r="R38" s="199"/>
      <c r="S38" s="199"/>
      <c r="T38" s="199"/>
      <c r="U38" s="186"/>
      <c r="V38" s="200"/>
      <c r="W38" s="199"/>
      <c r="X38" s="199"/>
    </row>
    <row r="39" spans="1:24" ht="12">
      <c r="A39" s="198"/>
      <c r="B39" s="199"/>
      <c r="C39" s="30"/>
      <c r="D39" s="30"/>
      <c r="E39" s="30"/>
      <c r="F39" s="199"/>
      <c r="G39" s="199"/>
      <c r="H39" s="199"/>
      <c r="I39" s="199"/>
      <c r="J39" s="199"/>
      <c r="K39" s="30"/>
      <c r="L39" s="199"/>
      <c r="M39" s="199"/>
      <c r="N39" s="30"/>
      <c r="O39" s="199"/>
      <c r="P39" s="199"/>
      <c r="Q39" s="30"/>
      <c r="R39" s="199"/>
      <c r="S39" s="199"/>
      <c r="T39" s="199"/>
      <c r="U39" s="186"/>
      <c r="V39" s="200"/>
      <c r="W39" s="199"/>
      <c r="X39" s="199"/>
    </row>
    <row r="40" spans="1:24" ht="12">
      <c r="A40" s="198"/>
      <c r="B40" s="199"/>
      <c r="C40" s="30"/>
      <c r="D40" s="30"/>
      <c r="E40" s="30"/>
      <c r="F40" s="199"/>
      <c r="G40" s="199"/>
      <c r="H40" s="199"/>
      <c r="I40" s="199"/>
      <c r="J40" s="199"/>
      <c r="K40" s="30"/>
      <c r="L40" s="199"/>
      <c r="M40" s="199"/>
      <c r="N40" s="30"/>
      <c r="O40" s="199"/>
      <c r="P40" s="199"/>
      <c r="Q40" s="30"/>
      <c r="R40" s="199"/>
      <c r="S40" s="199"/>
      <c r="T40" s="199"/>
      <c r="U40" s="186"/>
      <c r="V40" s="200"/>
      <c r="W40" s="199"/>
      <c r="X40" s="199"/>
    </row>
    <row r="41" spans="1:24" ht="12">
      <c r="A41" s="198"/>
      <c r="B41" s="199"/>
      <c r="C41" s="30"/>
      <c r="D41" s="30"/>
      <c r="E41" s="30"/>
      <c r="F41" s="199"/>
      <c r="G41" s="199"/>
      <c r="H41" s="199"/>
      <c r="I41" s="199"/>
      <c r="J41" s="30"/>
      <c r="K41" s="30"/>
      <c r="L41" s="199"/>
      <c r="M41" s="199"/>
      <c r="N41" s="30"/>
      <c r="O41" s="199"/>
      <c r="P41" s="199"/>
      <c r="Q41" s="30"/>
      <c r="R41" s="199"/>
      <c r="S41" s="199"/>
      <c r="T41" s="199"/>
      <c r="U41" s="186"/>
      <c r="V41" s="200"/>
      <c r="W41" s="199"/>
      <c r="X41" s="199"/>
    </row>
    <row r="42" spans="1:24" ht="12">
      <c r="A42" s="198"/>
      <c r="B42" s="199"/>
      <c r="C42" s="30"/>
      <c r="D42" s="199"/>
      <c r="E42" s="30"/>
      <c r="F42" s="199"/>
      <c r="G42" s="199"/>
      <c r="H42" s="199"/>
      <c r="I42" s="199"/>
      <c r="J42" s="199"/>
      <c r="K42" s="30"/>
      <c r="L42" s="199"/>
      <c r="M42" s="199"/>
      <c r="N42" s="30"/>
      <c r="O42" s="199"/>
      <c r="P42" s="199"/>
      <c r="Q42" s="30"/>
      <c r="R42" s="199"/>
      <c r="S42" s="199"/>
      <c r="T42" s="199"/>
      <c r="U42" s="186"/>
      <c r="V42" s="200"/>
      <c r="W42" s="199"/>
      <c r="X42" s="199"/>
    </row>
    <row r="43" spans="1:24" ht="12">
      <c r="A43" s="201"/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186"/>
      <c r="V43" s="203"/>
      <c r="W43" s="202"/>
      <c r="X43" s="202"/>
    </row>
    <row r="44" spans="1:24" ht="12">
      <c r="A44" s="30"/>
      <c r="B44" s="199"/>
      <c r="C44" s="30"/>
      <c r="D44" s="199"/>
      <c r="E44" s="30"/>
      <c r="F44" s="199"/>
      <c r="G44" s="199"/>
      <c r="H44" s="199"/>
      <c r="I44" s="199"/>
      <c r="J44" s="199"/>
      <c r="K44" s="30"/>
      <c r="L44" s="199"/>
      <c r="M44" s="199"/>
      <c r="N44" s="30"/>
      <c r="O44" s="199"/>
      <c r="P44" s="30"/>
      <c r="Q44" s="30"/>
      <c r="R44" s="199"/>
      <c r="S44" s="199"/>
      <c r="T44" s="199"/>
      <c r="U44" s="186"/>
      <c r="V44" s="200"/>
      <c r="W44" s="199"/>
      <c r="X44" s="199"/>
    </row>
    <row r="45" spans="1:24" ht="12">
      <c r="A45" s="160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4"/>
      <c r="W45" s="160"/>
      <c r="X45" s="160"/>
    </row>
    <row r="46" spans="1:24" ht="12">
      <c r="A46" s="204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6"/>
      <c r="V46" s="203"/>
      <c r="W46" s="202"/>
      <c r="X46" s="202"/>
    </row>
  </sheetData>
  <sheetProtection/>
  <mergeCells count="2">
    <mergeCell ref="A1:L1"/>
    <mergeCell ref="B3:T3"/>
  </mergeCells>
  <printOptions/>
  <pageMargins left="0.5511811023622047" right="0.2362204724409449" top="0.5511811023622047" bottom="0.1968503937007874" header="0.5118110236220472" footer="0.2362204724409449"/>
  <pageSetup fitToHeight="1" fitToWidth="1" orientation="portrait" paperSize="9" scale="66" r:id="rId1"/>
  <headerFooter alignWithMargins="0">
    <oddHeader>&amp;R&amp;F</oddHeader>
    <oddFooter>&amp;LComune di Bologna - Dipartimento Programmazione - Settore Statistica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8"/>
  <sheetViews>
    <sheetView showZeros="0" zoomScalePageLayoutView="0" workbookViewId="0" topLeftCell="A1">
      <selection activeCell="T1" sqref="T1:T16384"/>
    </sheetView>
  </sheetViews>
  <sheetFormatPr defaultColWidth="10.875" defaultRowHeight="12"/>
  <cols>
    <col min="1" max="1" width="30.875" style="27" customWidth="1"/>
    <col min="2" max="2" width="6.00390625" style="27" customWidth="1"/>
    <col min="3" max="3" width="6.125" style="27" customWidth="1"/>
    <col min="4" max="4" width="7.625" style="27" customWidth="1"/>
    <col min="5" max="5" width="7.375" style="27" customWidth="1"/>
    <col min="6" max="10" width="7.625" style="27" customWidth="1"/>
    <col min="11" max="11" width="9.75390625" style="27" customWidth="1"/>
    <col min="12" max="15" width="7.625" style="27" customWidth="1"/>
    <col min="16" max="16" width="9.875" style="27" customWidth="1"/>
    <col min="17" max="19" width="7.625" style="27" customWidth="1"/>
    <col min="20" max="20" width="9.00390625" style="27" customWidth="1"/>
    <col min="21" max="21" width="7.125" style="27" customWidth="1"/>
    <col min="22" max="23" width="9.875" style="27" customWidth="1"/>
    <col min="24" max="16384" width="10.875" style="27" customWidth="1"/>
  </cols>
  <sheetData>
    <row r="1" spans="1:22" s="3" customFormat="1" ht="30" customHeight="1">
      <c r="A1" s="272" t="s">
        <v>119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1"/>
      <c r="P1" s="1"/>
      <c r="Q1" s="1"/>
      <c r="R1" s="1"/>
      <c r="T1" s="1"/>
      <c r="U1" s="115"/>
      <c r="V1" s="2"/>
    </row>
    <row r="2" spans="1:22" s="14" customFormat="1" ht="15">
      <c r="A2" s="110" t="s">
        <v>123</v>
      </c>
      <c r="B2" s="9"/>
      <c r="C2" s="9"/>
      <c r="D2" s="11"/>
      <c r="E2" s="9"/>
      <c r="F2" s="7"/>
      <c r="G2" s="11"/>
      <c r="H2" s="5"/>
      <c r="I2" s="9"/>
      <c r="J2" s="6"/>
      <c r="K2" s="9"/>
      <c r="L2" s="9"/>
      <c r="M2" s="9"/>
      <c r="N2" s="111" t="s">
        <v>0</v>
      </c>
      <c r="O2" s="9"/>
      <c r="P2" s="9"/>
      <c r="Q2" s="9"/>
      <c r="R2" s="6"/>
      <c r="S2" s="8"/>
      <c r="T2" s="9"/>
      <c r="U2" s="12"/>
      <c r="V2" s="13"/>
    </row>
    <row r="3" spans="1:22" s="22" customFormat="1" ht="12">
      <c r="A3" s="15" t="s">
        <v>1</v>
      </c>
      <c r="B3" s="16"/>
      <c r="C3" s="16"/>
      <c r="D3" s="16"/>
      <c r="E3" s="16"/>
      <c r="F3" s="16"/>
      <c r="G3" s="16"/>
      <c r="H3" s="16" t="s">
        <v>2</v>
      </c>
      <c r="I3" s="16"/>
      <c r="J3" s="16"/>
      <c r="K3" s="16"/>
      <c r="L3" s="18"/>
      <c r="M3" s="16"/>
      <c r="N3" s="16"/>
      <c r="O3" s="16"/>
      <c r="P3" s="19"/>
      <c r="Q3" s="16"/>
      <c r="R3" s="17"/>
      <c r="S3" s="16"/>
      <c r="T3" s="16"/>
      <c r="U3" s="20" t="s">
        <v>3</v>
      </c>
      <c r="V3" s="21"/>
    </row>
    <row r="4" spans="1:22" ht="12">
      <c r="A4" s="15" t="s">
        <v>4</v>
      </c>
      <c r="B4" s="25" t="s">
        <v>14</v>
      </c>
      <c r="C4" s="24" t="s">
        <v>77</v>
      </c>
      <c r="D4" s="24" t="s">
        <v>11</v>
      </c>
      <c r="E4" s="24" t="s">
        <v>17</v>
      </c>
      <c r="F4" s="24" t="s">
        <v>7</v>
      </c>
      <c r="G4" s="25" t="s">
        <v>89</v>
      </c>
      <c r="H4" s="23" t="s">
        <v>5</v>
      </c>
      <c r="I4" s="25" t="s">
        <v>13</v>
      </c>
      <c r="J4" s="24" t="s">
        <v>8</v>
      </c>
      <c r="K4" s="24" t="s">
        <v>15</v>
      </c>
      <c r="L4" s="24" t="s">
        <v>10</v>
      </c>
      <c r="M4" s="24" t="s">
        <v>10</v>
      </c>
      <c r="N4" s="24" t="s">
        <v>16</v>
      </c>
      <c r="O4" s="25" t="s">
        <v>6</v>
      </c>
      <c r="P4" s="24" t="s">
        <v>6</v>
      </c>
      <c r="Q4" s="24" t="s">
        <v>79</v>
      </c>
      <c r="R4" s="24" t="s">
        <v>6</v>
      </c>
      <c r="S4" s="24" t="s">
        <v>6</v>
      </c>
      <c r="T4" s="25" t="s">
        <v>9</v>
      </c>
      <c r="U4" s="25"/>
      <c r="V4" s="26"/>
    </row>
    <row r="5" spans="1:22" ht="12">
      <c r="A5" s="15" t="s">
        <v>18</v>
      </c>
      <c r="B5" s="25" t="s">
        <v>31</v>
      </c>
      <c r="C5" s="24" t="s">
        <v>78</v>
      </c>
      <c r="D5" s="24" t="s">
        <v>28</v>
      </c>
      <c r="E5" s="24" t="s">
        <v>35</v>
      </c>
      <c r="F5" s="24" t="s">
        <v>21</v>
      </c>
      <c r="G5" s="24" t="s">
        <v>29</v>
      </c>
      <c r="H5" s="23" t="s">
        <v>19</v>
      </c>
      <c r="I5" s="25" t="s">
        <v>30</v>
      </c>
      <c r="J5" s="24" t="s">
        <v>23</v>
      </c>
      <c r="K5" s="24" t="s">
        <v>33</v>
      </c>
      <c r="L5" s="24" t="s">
        <v>26</v>
      </c>
      <c r="M5" s="24" t="s">
        <v>32</v>
      </c>
      <c r="N5" s="24" t="s">
        <v>34</v>
      </c>
      <c r="O5" s="25" t="s">
        <v>24</v>
      </c>
      <c r="P5" s="24" t="s">
        <v>27</v>
      </c>
      <c r="Q5" s="24" t="s">
        <v>84</v>
      </c>
      <c r="R5" s="24" t="s">
        <v>20</v>
      </c>
      <c r="S5" s="25" t="s">
        <v>22</v>
      </c>
      <c r="T5" s="25" t="s">
        <v>25</v>
      </c>
      <c r="U5" s="25"/>
      <c r="V5" s="26"/>
    </row>
    <row r="6" spans="1:22" ht="12">
      <c r="A6" s="28"/>
      <c r="B6" s="30"/>
      <c r="C6" s="24"/>
      <c r="D6" s="24" t="s">
        <v>44</v>
      </c>
      <c r="E6" s="24" t="s">
        <v>46</v>
      </c>
      <c r="F6" s="25"/>
      <c r="G6" s="30"/>
      <c r="H6" s="23" t="s">
        <v>36</v>
      </c>
      <c r="I6" s="30"/>
      <c r="J6" s="24" t="s">
        <v>39</v>
      </c>
      <c r="K6" s="24" t="s">
        <v>8</v>
      </c>
      <c r="L6" s="24" t="s">
        <v>42</v>
      </c>
      <c r="M6" s="24" t="s">
        <v>45</v>
      </c>
      <c r="N6" s="24"/>
      <c r="O6" s="29" t="s">
        <v>40</v>
      </c>
      <c r="P6" s="24" t="s">
        <v>43</v>
      </c>
      <c r="Q6" s="24" t="s">
        <v>85</v>
      </c>
      <c r="R6" s="24" t="s">
        <v>37</v>
      </c>
      <c r="S6" s="25" t="s">
        <v>38</v>
      </c>
      <c r="T6" s="25" t="s">
        <v>41</v>
      </c>
      <c r="U6" s="25"/>
      <c r="V6" s="26"/>
    </row>
    <row r="7" spans="1:22" s="14" customFormat="1" ht="12">
      <c r="A7" s="31"/>
      <c r="B7" s="32"/>
      <c r="C7" s="33"/>
      <c r="D7" s="32"/>
      <c r="E7" s="33" t="s">
        <v>53</v>
      </c>
      <c r="F7" s="32"/>
      <c r="G7" s="32"/>
      <c r="H7" s="31"/>
      <c r="I7" s="32"/>
      <c r="J7" s="33" t="s">
        <v>47</v>
      </c>
      <c r="K7" s="33" t="s">
        <v>52</v>
      </c>
      <c r="L7" s="33" t="s">
        <v>50</v>
      </c>
      <c r="M7" s="33" t="s">
        <v>51</v>
      </c>
      <c r="N7" s="33"/>
      <c r="O7" s="32" t="s">
        <v>48</v>
      </c>
      <c r="P7" s="33" t="s">
        <v>82</v>
      </c>
      <c r="Q7" s="33"/>
      <c r="R7" s="32"/>
      <c r="S7" s="32"/>
      <c r="T7" s="32" t="s">
        <v>49</v>
      </c>
      <c r="U7" s="32"/>
      <c r="V7" s="13"/>
    </row>
    <row r="8" spans="2:22" s="22" customFormat="1" ht="12">
      <c r="B8" s="34"/>
      <c r="C8" s="34"/>
      <c r="E8" s="34"/>
      <c r="F8" s="34"/>
      <c r="G8" s="34"/>
      <c r="H8" s="34"/>
      <c r="I8" s="34"/>
      <c r="J8" s="112"/>
      <c r="K8" s="34" t="s">
        <v>54</v>
      </c>
      <c r="L8" s="34"/>
      <c r="M8" s="34"/>
      <c r="N8" s="34"/>
      <c r="O8" s="34"/>
      <c r="P8" s="113"/>
      <c r="Q8" s="34"/>
      <c r="R8" s="34"/>
      <c r="S8" s="34"/>
      <c r="T8" s="34"/>
      <c r="U8" s="34"/>
      <c r="V8" s="21"/>
    </row>
    <row r="9" spans="1:22" s="3" customFormat="1" ht="12">
      <c r="A9" s="35" t="s">
        <v>55</v>
      </c>
      <c r="B9" s="37">
        <v>456</v>
      </c>
      <c r="C9" s="37">
        <v>140</v>
      </c>
      <c r="D9" s="36">
        <v>113</v>
      </c>
      <c r="E9" s="36">
        <v>307</v>
      </c>
      <c r="F9" s="36">
        <v>3138</v>
      </c>
      <c r="G9" s="36">
        <v>641</v>
      </c>
      <c r="H9" s="37">
        <v>1997</v>
      </c>
      <c r="I9" s="36">
        <v>2848</v>
      </c>
      <c r="J9" s="36">
        <v>4165</v>
      </c>
      <c r="K9" s="37">
        <v>833</v>
      </c>
      <c r="L9" s="36">
        <v>1109</v>
      </c>
      <c r="M9" s="36">
        <v>221</v>
      </c>
      <c r="N9" s="36">
        <v>483</v>
      </c>
      <c r="O9" s="36">
        <v>1395</v>
      </c>
      <c r="P9" s="36">
        <v>1904</v>
      </c>
      <c r="Q9" s="36">
        <v>342</v>
      </c>
      <c r="R9" s="37">
        <v>2400</v>
      </c>
      <c r="S9" s="37">
        <v>183</v>
      </c>
      <c r="T9" s="37">
        <v>247</v>
      </c>
      <c r="U9" s="38">
        <f aca="true" t="shared" si="0" ref="U9:U14">SUM(B9:T9)</f>
        <v>22922</v>
      </c>
      <c r="V9" s="39"/>
    </row>
    <row r="10" spans="1:24" ht="12">
      <c r="A10" s="40" t="s">
        <v>56</v>
      </c>
      <c r="B10" s="37">
        <v>288</v>
      </c>
      <c r="C10" s="37">
        <v>85</v>
      </c>
      <c r="D10" s="36">
        <v>72</v>
      </c>
      <c r="E10" s="36">
        <v>238</v>
      </c>
      <c r="F10" s="36">
        <v>2514</v>
      </c>
      <c r="G10" s="36">
        <v>417</v>
      </c>
      <c r="H10" s="37">
        <v>1207</v>
      </c>
      <c r="I10" s="36">
        <v>2036</v>
      </c>
      <c r="J10" s="36">
        <v>2797</v>
      </c>
      <c r="K10" s="37">
        <v>589</v>
      </c>
      <c r="L10" s="36">
        <v>957</v>
      </c>
      <c r="M10" s="36">
        <v>183</v>
      </c>
      <c r="N10" s="36">
        <v>421</v>
      </c>
      <c r="O10" s="36">
        <v>891</v>
      </c>
      <c r="P10" s="36">
        <v>1275</v>
      </c>
      <c r="Q10" s="36">
        <v>247</v>
      </c>
      <c r="R10" s="37">
        <v>1840</v>
      </c>
      <c r="S10" s="37">
        <v>121</v>
      </c>
      <c r="T10" s="37">
        <v>163</v>
      </c>
      <c r="U10" s="38">
        <f t="shared" si="0"/>
        <v>16341</v>
      </c>
      <c r="V10" s="39"/>
      <c r="W10" s="41"/>
      <c r="X10" s="41"/>
    </row>
    <row r="11" spans="1:24" ht="12">
      <c r="A11" s="40" t="s">
        <v>57</v>
      </c>
      <c r="B11" s="37">
        <v>303</v>
      </c>
      <c r="C11" s="37">
        <v>108</v>
      </c>
      <c r="D11" s="36">
        <v>67</v>
      </c>
      <c r="E11" s="36">
        <v>204</v>
      </c>
      <c r="F11" s="36">
        <v>2355</v>
      </c>
      <c r="G11" s="36">
        <v>321</v>
      </c>
      <c r="H11" s="37">
        <v>1256</v>
      </c>
      <c r="I11" s="36">
        <v>1440</v>
      </c>
      <c r="J11" s="36">
        <v>2271</v>
      </c>
      <c r="K11" s="37">
        <v>539</v>
      </c>
      <c r="L11" s="36">
        <v>870</v>
      </c>
      <c r="M11" s="36">
        <v>173</v>
      </c>
      <c r="N11" s="36">
        <v>274</v>
      </c>
      <c r="O11" s="36">
        <v>978</v>
      </c>
      <c r="P11" s="36">
        <v>1142</v>
      </c>
      <c r="Q11" s="36">
        <v>158</v>
      </c>
      <c r="R11" s="37">
        <v>1552</v>
      </c>
      <c r="S11" s="37">
        <v>119</v>
      </c>
      <c r="T11" s="37">
        <v>199</v>
      </c>
      <c r="U11" s="38">
        <f t="shared" si="0"/>
        <v>14329</v>
      </c>
      <c r="V11" s="39"/>
      <c r="W11" s="41"/>
      <c r="X11" s="41"/>
    </row>
    <row r="12" spans="1:24" ht="12">
      <c r="A12" s="40" t="s">
        <v>58</v>
      </c>
      <c r="B12" s="37">
        <v>0</v>
      </c>
      <c r="C12" s="37">
        <v>88</v>
      </c>
      <c r="D12" s="36">
        <v>0</v>
      </c>
      <c r="E12" s="36">
        <v>0</v>
      </c>
      <c r="F12" s="36">
        <v>1</v>
      </c>
      <c r="G12" s="36">
        <v>286</v>
      </c>
      <c r="H12" s="37">
        <v>3</v>
      </c>
      <c r="I12" s="36">
        <v>132</v>
      </c>
      <c r="J12" s="36">
        <v>11</v>
      </c>
      <c r="K12" s="37">
        <v>1</v>
      </c>
      <c r="L12" s="36">
        <v>435</v>
      </c>
      <c r="M12" s="36">
        <v>130</v>
      </c>
      <c r="N12" s="36">
        <v>1</v>
      </c>
      <c r="O12" s="36">
        <v>287</v>
      </c>
      <c r="P12" s="36">
        <v>2</v>
      </c>
      <c r="Q12" s="36">
        <v>1</v>
      </c>
      <c r="R12" s="37">
        <v>2</v>
      </c>
      <c r="S12" s="37">
        <v>1</v>
      </c>
      <c r="T12" s="37">
        <v>1</v>
      </c>
      <c r="U12" s="38">
        <f t="shared" si="0"/>
        <v>1382</v>
      </c>
      <c r="V12" s="42"/>
      <c r="W12" s="41"/>
      <c r="X12" s="41"/>
    </row>
    <row r="13" spans="1:24" ht="12">
      <c r="A13" s="40" t="s">
        <v>59</v>
      </c>
      <c r="B13" s="37">
        <v>46</v>
      </c>
      <c r="C13" s="36">
        <v>83</v>
      </c>
      <c r="D13" s="36">
        <v>39</v>
      </c>
      <c r="E13" s="36">
        <v>0</v>
      </c>
      <c r="F13" s="36">
        <v>0</v>
      </c>
      <c r="G13" s="36">
        <v>296</v>
      </c>
      <c r="H13" s="37">
        <v>0</v>
      </c>
      <c r="I13" s="36">
        <v>538</v>
      </c>
      <c r="J13" s="36">
        <v>302</v>
      </c>
      <c r="K13" s="37">
        <v>0</v>
      </c>
      <c r="L13" s="36">
        <v>437</v>
      </c>
      <c r="M13" s="36">
        <v>137</v>
      </c>
      <c r="N13" s="36">
        <v>127</v>
      </c>
      <c r="O13" s="36">
        <v>0</v>
      </c>
      <c r="P13" s="36">
        <v>222</v>
      </c>
      <c r="Q13" s="36">
        <v>0</v>
      </c>
      <c r="R13" s="37">
        <v>0</v>
      </c>
      <c r="S13" s="37">
        <v>0</v>
      </c>
      <c r="T13" s="37">
        <v>0</v>
      </c>
      <c r="U13" s="38">
        <f t="shared" si="0"/>
        <v>2227</v>
      </c>
      <c r="V13" s="42"/>
      <c r="W13" s="41"/>
      <c r="X13" s="41"/>
    </row>
    <row r="14" spans="1:24" ht="12">
      <c r="A14" s="40" t="s">
        <v>60</v>
      </c>
      <c r="B14" s="37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7">
        <v>0</v>
      </c>
      <c r="I14" s="36">
        <v>0</v>
      </c>
      <c r="J14" s="36">
        <v>0</v>
      </c>
      <c r="K14" s="37">
        <v>0</v>
      </c>
      <c r="L14" s="36">
        <v>443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7">
        <v>0</v>
      </c>
      <c r="S14" s="37">
        <v>0</v>
      </c>
      <c r="T14" s="37">
        <v>0</v>
      </c>
      <c r="U14" s="38">
        <f t="shared" si="0"/>
        <v>443</v>
      </c>
      <c r="V14" s="43"/>
      <c r="W14" s="41"/>
      <c r="X14" s="41"/>
    </row>
    <row r="15" spans="1:24" s="46" customFormat="1" ht="12">
      <c r="A15" s="44" t="s">
        <v>61</v>
      </c>
      <c r="B15" s="45">
        <f aca="true" t="shared" si="1" ref="B15:U15">SUM(B9:B14)</f>
        <v>1093</v>
      </c>
      <c r="C15" s="45">
        <f t="shared" si="1"/>
        <v>504</v>
      </c>
      <c r="D15" s="45">
        <f t="shared" si="1"/>
        <v>291</v>
      </c>
      <c r="E15" s="45">
        <f t="shared" si="1"/>
        <v>749</v>
      </c>
      <c r="F15" s="45">
        <f t="shared" si="1"/>
        <v>8008</v>
      </c>
      <c r="G15" s="45">
        <f t="shared" si="1"/>
        <v>1961</v>
      </c>
      <c r="H15" s="45">
        <f t="shared" si="1"/>
        <v>4463</v>
      </c>
      <c r="I15" s="45">
        <f t="shared" si="1"/>
        <v>6994</v>
      </c>
      <c r="J15" s="45">
        <f t="shared" si="1"/>
        <v>9546</v>
      </c>
      <c r="K15" s="45">
        <f t="shared" si="1"/>
        <v>1962</v>
      </c>
      <c r="L15" s="45">
        <f t="shared" si="1"/>
        <v>4251</v>
      </c>
      <c r="M15" s="45">
        <f t="shared" si="1"/>
        <v>844</v>
      </c>
      <c r="N15" s="45">
        <f t="shared" si="1"/>
        <v>1306</v>
      </c>
      <c r="O15" s="45">
        <f t="shared" si="1"/>
        <v>3551</v>
      </c>
      <c r="P15" s="45">
        <f t="shared" si="1"/>
        <v>4545</v>
      </c>
      <c r="Q15" s="45">
        <f t="shared" si="1"/>
        <v>748</v>
      </c>
      <c r="R15" s="45">
        <f t="shared" si="1"/>
        <v>5794</v>
      </c>
      <c r="S15" s="45">
        <f t="shared" si="1"/>
        <v>424</v>
      </c>
      <c r="T15" s="45">
        <f t="shared" si="1"/>
        <v>610</v>
      </c>
      <c r="U15" s="45">
        <f t="shared" si="1"/>
        <v>57644</v>
      </c>
      <c r="V15" s="45">
        <f>SUM(B15:T15)-U15</f>
        <v>0</v>
      </c>
      <c r="W15" s="45"/>
      <c r="X15" s="45"/>
    </row>
    <row r="16" spans="1:24" ht="12">
      <c r="A16" s="28" t="s">
        <v>62</v>
      </c>
      <c r="B16" s="36">
        <v>627</v>
      </c>
      <c r="C16" s="36">
        <v>93</v>
      </c>
      <c r="D16" s="36">
        <v>107</v>
      </c>
      <c r="E16" s="36">
        <v>1256</v>
      </c>
      <c r="F16" s="36">
        <v>4829</v>
      </c>
      <c r="G16" s="36">
        <v>932</v>
      </c>
      <c r="H16" s="37">
        <v>6281</v>
      </c>
      <c r="I16" s="36">
        <v>5663</v>
      </c>
      <c r="J16" s="36">
        <v>7788</v>
      </c>
      <c r="K16" s="36">
        <v>1425</v>
      </c>
      <c r="L16" s="36">
        <v>991</v>
      </c>
      <c r="M16" s="36">
        <v>589</v>
      </c>
      <c r="N16" s="36">
        <v>620</v>
      </c>
      <c r="O16" s="36">
        <v>2143</v>
      </c>
      <c r="P16" s="36">
        <v>2719</v>
      </c>
      <c r="Q16" s="36">
        <v>492</v>
      </c>
      <c r="R16" s="36">
        <v>3933</v>
      </c>
      <c r="S16" s="36">
        <v>338</v>
      </c>
      <c r="T16" s="36">
        <v>314</v>
      </c>
      <c r="U16" s="38">
        <f>SUM(B16:T16)</f>
        <v>41140</v>
      </c>
      <c r="V16" s="36">
        <f>+U17-U16-U15</f>
        <v>0</v>
      </c>
      <c r="W16" s="41"/>
      <c r="X16" s="47" t="s">
        <v>83</v>
      </c>
    </row>
    <row r="17" spans="1:24" s="53" customFormat="1" ht="12">
      <c r="A17" s="48" t="s">
        <v>63</v>
      </c>
      <c r="B17" s="49">
        <f aca="true" t="shared" si="2" ref="B17:T17">+B15+B16</f>
        <v>1720</v>
      </c>
      <c r="C17" s="49">
        <f t="shared" si="2"/>
        <v>597</v>
      </c>
      <c r="D17" s="49">
        <f t="shared" si="2"/>
        <v>398</v>
      </c>
      <c r="E17" s="49">
        <f t="shared" si="2"/>
        <v>2005</v>
      </c>
      <c r="F17" s="49">
        <f t="shared" si="2"/>
        <v>12837</v>
      </c>
      <c r="G17" s="49">
        <f t="shared" si="2"/>
        <v>2893</v>
      </c>
      <c r="H17" s="49">
        <f t="shared" si="2"/>
        <v>10744</v>
      </c>
      <c r="I17" s="49">
        <f t="shared" si="2"/>
        <v>12657</v>
      </c>
      <c r="J17" s="49">
        <f t="shared" si="2"/>
        <v>17334</v>
      </c>
      <c r="K17" s="49">
        <f t="shared" si="2"/>
        <v>3387</v>
      </c>
      <c r="L17" s="49">
        <f t="shared" si="2"/>
        <v>5242</v>
      </c>
      <c r="M17" s="49">
        <f t="shared" si="2"/>
        <v>1433</v>
      </c>
      <c r="N17" s="49">
        <f t="shared" si="2"/>
        <v>1926</v>
      </c>
      <c r="O17" s="49">
        <f t="shared" si="2"/>
        <v>5694</v>
      </c>
      <c r="P17" s="49">
        <f t="shared" si="2"/>
        <v>7264</v>
      </c>
      <c r="Q17" s="49">
        <f t="shared" si="2"/>
        <v>1240</v>
      </c>
      <c r="R17" s="49">
        <f t="shared" si="2"/>
        <v>9727</v>
      </c>
      <c r="S17" s="49">
        <f t="shared" si="2"/>
        <v>762</v>
      </c>
      <c r="T17" s="49">
        <f t="shared" si="2"/>
        <v>924</v>
      </c>
      <c r="U17" s="50">
        <f>SUM(B17:T17)</f>
        <v>98784</v>
      </c>
      <c r="V17" s="51">
        <f>+U17-U16-SUM(U9:U14)</f>
        <v>0</v>
      </c>
      <c r="W17" s="52"/>
      <c r="X17" s="52">
        <f>W17-U17</f>
        <v>-98784</v>
      </c>
    </row>
    <row r="18" spans="1:24" s="22" customFormat="1" ht="12">
      <c r="A18" s="54" t="s">
        <v>86</v>
      </c>
      <c r="B18" s="54"/>
      <c r="C18" s="114"/>
      <c r="D18" s="54"/>
      <c r="E18" s="114"/>
      <c r="F18" s="54"/>
      <c r="G18" s="54"/>
      <c r="H18" s="114"/>
      <c r="I18" s="54"/>
      <c r="J18" s="54"/>
      <c r="K18" s="114"/>
      <c r="L18" s="54"/>
      <c r="M18" s="54"/>
      <c r="N18" s="114"/>
      <c r="O18" s="54"/>
      <c r="P18" s="54"/>
      <c r="Q18" s="114"/>
      <c r="R18" s="114"/>
      <c r="S18" s="54"/>
      <c r="T18" s="54"/>
      <c r="U18" s="54">
        <v>0</v>
      </c>
      <c r="V18" s="56"/>
      <c r="W18" s="57"/>
      <c r="X18" s="57"/>
    </row>
    <row r="19" spans="1:24" ht="12">
      <c r="A19" s="35" t="s">
        <v>55</v>
      </c>
      <c r="B19" s="58">
        <v>313</v>
      </c>
      <c r="C19" s="58">
        <v>70</v>
      </c>
      <c r="D19" s="58">
        <v>70</v>
      </c>
      <c r="E19" s="58">
        <v>110</v>
      </c>
      <c r="F19" s="58">
        <v>1610</v>
      </c>
      <c r="G19" s="58">
        <v>220</v>
      </c>
      <c r="H19" s="37">
        <v>826</v>
      </c>
      <c r="I19" s="58">
        <v>2237</v>
      </c>
      <c r="J19" s="58">
        <v>1622</v>
      </c>
      <c r="K19" s="58">
        <v>157</v>
      </c>
      <c r="L19" s="58">
        <v>385</v>
      </c>
      <c r="M19" s="58">
        <v>76</v>
      </c>
      <c r="N19" s="58">
        <v>86</v>
      </c>
      <c r="O19" s="58">
        <v>166</v>
      </c>
      <c r="P19" s="58">
        <v>1121</v>
      </c>
      <c r="Q19" s="58">
        <v>207</v>
      </c>
      <c r="R19" s="58">
        <v>956</v>
      </c>
      <c r="S19" s="37">
        <v>106</v>
      </c>
      <c r="T19" s="58">
        <v>20</v>
      </c>
      <c r="U19" s="38">
        <f aca="true" t="shared" si="3" ref="U19:U24">SUM(B19:T19)</f>
        <v>10358</v>
      </c>
      <c r="V19" s="39"/>
      <c r="W19" s="41"/>
      <c r="X19" s="41"/>
    </row>
    <row r="20" spans="1:24" ht="12">
      <c r="A20" s="40" t="s">
        <v>56</v>
      </c>
      <c r="B20" s="58">
        <v>181</v>
      </c>
      <c r="C20" s="58">
        <v>46</v>
      </c>
      <c r="D20" s="58">
        <v>46</v>
      </c>
      <c r="E20" s="58">
        <v>100</v>
      </c>
      <c r="F20" s="58">
        <v>1322</v>
      </c>
      <c r="G20" s="58">
        <v>133</v>
      </c>
      <c r="H20" s="37">
        <v>510</v>
      </c>
      <c r="I20" s="58">
        <v>1592</v>
      </c>
      <c r="J20" s="58">
        <v>1100</v>
      </c>
      <c r="K20" s="58">
        <v>93</v>
      </c>
      <c r="L20" s="58">
        <v>354</v>
      </c>
      <c r="M20" s="58">
        <v>74</v>
      </c>
      <c r="N20" s="58">
        <v>80</v>
      </c>
      <c r="O20" s="58">
        <v>115</v>
      </c>
      <c r="P20" s="58">
        <v>792</v>
      </c>
      <c r="Q20" s="58">
        <v>157</v>
      </c>
      <c r="R20" s="58">
        <v>737</v>
      </c>
      <c r="S20" s="37">
        <v>64</v>
      </c>
      <c r="T20" s="58">
        <v>14</v>
      </c>
      <c r="U20" s="38">
        <f t="shared" si="3"/>
        <v>7510</v>
      </c>
      <c r="V20" s="39"/>
      <c r="W20" s="41"/>
      <c r="X20" s="41"/>
    </row>
    <row r="21" spans="1:24" ht="12">
      <c r="A21" s="40" t="s">
        <v>57</v>
      </c>
      <c r="B21" s="58">
        <v>188</v>
      </c>
      <c r="C21" s="58">
        <v>54</v>
      </c>
      <c r="D21" s="58">
        <v>42</v>
      </c>
      <c r="E21" s="58">
        <v>75</v>
      </c>
      <c r="F21" s="58">
        <v>1347</v>
      </c>
      <c r="G21" s="58">
        <v>107</v>
      </c>
      <c r="H21" s="37">
        <v>528</v>
      </c>
      <c r="I21" s="58">
        <v>1097</v>
      </c>
      <c r="J21" s="58">
        <v>850</v>
      </c>
      <c r="K21" s="58">
        <v>91</v>
      </c>
      <c r="L21" s="58">
        <v>306</v>
      </c>
      <c r="M21" s="58">
        <v>63</v>
      </c>
      <c r="N21" s="58">
        <v>54</v>
      </c>
      <c r="O21" s="58">
        <v>107</v>
      </c>
      <c r="P21" s="58">
        <v>673</v>
      </c>
      <c r="Q21" s="58">
        <v>104</v>
      </c>
      <c r="R21" s="58">
        <v>579</v>
      </c>
      <c r="S21" s="37">
        <v>70</v>
      </c>
      <c r="T21" s="58">
        <v>24</v>
      </c>
      <c r="U21" s="38">
        <f t="shared" si="3"/>
        <v>6359</v>
      </c>
      <c r="V21" s="39"/>
      <c r="W21" s="41"/>
      <c r="X21" s="41"/>
    </row>
    <row r="22" spans="1:24" s="60" customFormat="1" ht="12">
      <c r="A22" s="40" t="s">
        <v>58</v>
      </c>
      <c r="B22" s="58"/>
      <c r="C22" s="58">
        <v>30</v>
      </c>
      <c r="D22" s="58"/>
      <c r="E22" s="58"/>
      <c r="F22" s="58">
        <v>0</v>
      </c>
      <c r="G22" s="58">
        <v>85</v>
      </c>
      <c r="H22" s="37">
        <v>3</v>
      </c>
      <c r="I22" s="58">
        <v>67</v>
      </c>
      <c r="J22" s="58">
        <v>5</v>
      </c>
      <c r="K22" s="58">
        <v>1</v>
      </c>
      <c r="L22" s="58">
        <v>169</v>
      </c>
      <c r="M22" s="58">
        <v>49</v>
      </c>
      <c r="N22" s="58"/>
      <c r="O22" s="58">
        <v>10</v>
      </c>
      <c r="P22" s="58"/>
      <c r="Q22" s="58">
        <v>1</v>
      </c>
      <c r="R22" s="58">
        <v>1</v>
      </c>
      <c r="S22" s="37"/>
      <c r="T22" s="58"/>
      <c r="U22" s="38">
        <f t="shared" si="3"/>
        <v>421</v>
      </c>
      <c r="V22" s="42"/>
      <c r="W22" s="59"/>
      <c r="X22" s="59"/>
    </row>
    <row r="23" spans="1:24" s="60" customFormat="1" ht="12">
      <c r="A23" s="40" t="s">
        <v>59</v>
      </c>
      <c r="B23" s="58">
        <v>32</v>
      </c>
      <c r="C23" s="58">
        <v>35</v>
      </c>
      <c r="D23" s="58">
        <v>30</v>
      </c>
      <c r="E23" s="58"/>
      <c r="F23" s="58">
        <v>0</v>
      </c>
      <c r="G23" s="58">
        <v>87</v>
      </c>
      <c r="H23" s="58"/>
      <c r="I23" s="58">
        <v>369</v>
      </c>
      <c r="J23" s="58">
        <v>123</v>
      </c>
      <c r="K23" s="58"/>
      <c r="L23" s="58">
        <v>172</v>
      </c>
      <c r="M23" s="58">
        <v>33</v>
      </c>
      <c r="N23" s="58">
        <v>29</v>
      </c>
      <c r="O23" s="58"/>
      <c r="P23" s="58">
        <v>88</v>
      </c>
      <c r="Q23" s="58"/>
      <c r="R23" s="58">
        <v>0</v>
      </c>
      <c r="S23" s="37"/>
      <c r="T23" s="58"/>
      <c r="U23" s="38">
        <f t="shared" si="3"/>
        <v>998</v>
      </c>
      <c r="V23" s="42"/>
      <c r="W23" s="59"/>
      <c r="X23" s="59"/>
    </row>
    <row r="24" spans="1:24" s="62" customFormat="1" ht="12">
      <c r="A24" s="40" t="s">
        <v>60</v>
      </c>
      <c r="B24" s="58"/>
      <c r="C24" s="58"/>
      <c r="D24" s="58"/>
      <c r="E24" s="58"/>
      <c r="F24" s="58">
        <v>0</v>
      </c>
      <c r="G24" s="58"/>
      <c r="H24" s="58"/>
      <c r="I24" s="58">
        <v>0</v>
      </c>
      <c r="J24" s="58"/>
      <c r="K24" s="58"/>
      <c r="L24" s="58">
        <v>172</v>
      </c>
      <c r="M24" s="58"/>
      <c r="N24" s="58"/>
      <c r="O24" s="58"/>
      <c r="P24" s="58"/>
      <c r="Q24" s="58"/>
      <c r="R24" s="58">
        <v>0</v>
      </c>
      <c r="S24" s="37"/>
      <c r="T24" s="58"/>
      <c r="U24" s="38">
        <f t="shared" si="3"/>
        <v>172</v>
      </c>
      <c r="V24" s="43"/>
      <c r="W24" s="61"/>
      <c r="X24" s="61"/>
    </row>
    <row r="25" spans="1:23" s="63" customFormat="1" ht="12">
      <c r="A25" s="44" t="s">
        <v>61</v>
      </c>
      <c r="B25" s="45">
        <f aca="true" t="shared" si="4" ref="B25:U25">SUM(B19:B24)</f>
        <v>714</v>
      </c>
      <c r="C25" s="45">
        <f t="shared" si="4"/>
        <v>235</v>
      </c>
      <c r="D25" s="45">
        <f t="shared" si="4"/>
        <v>188</v>
      </c>
      <c r="E25" s="45">
        <f t="shared" si="4"/>
        <v>285</v>
      </c>
      <c r="F25" s="45">
        <f t="shared" si="4"/>
        <v>4279</v>
      </c>
      <c r="G25" s="45">
        <f t="shared" si="4"/>
        <v>632</v>
      </c>
      <c r="H25" s="45">
        <f t="shared" si="4"/>
        <v>1867</v>
      </c>
      <c r="I25" s="45">
        <f t="shared" si="4"/>
        <v>5362</v>
      </c>
      <c r="J25" s="45">
        <f t="shared" si="4"/>
        <v>3700</v>
      </c>
      <c r="K25" s="45">
        <f t="shared" si="4"/>
        <v>342</v>
      </c>
      <c r="L25" s="45">
        <f t="shared" si="4"/>
        <v>1558</v>
      </c>
      <c r="M25" s="45">
        <f t="shared" si="4"/>
        <v>295</v>
      </c>
      <c r="N25" s="45">
        <f t="shared" si="4"/>
        <v>249</v>
      </c>
      <c r="O25" s="45">
        <f t="shared" si="4"/>
        <v>398</v>
      </c>
      <c r="P25" s="45">
        <f t="shared" si="4"/>
        <v>2674</v>
      </c>
      <c r="Q25" s="45">
        <f t="shared" si="4"/>
        <v>469</v>
      </c>
      <c r="R25" s="45">
        <f t="shared" si="4"/>
        <v>2273</v>
      </c>
      <c r="S25" s="45">
        <f t="shared" si="4"/>
        <v>240</v>
      </c>
      <c r="T25" s="45">
        <f t="shared" si="4"/>
        <v>58</v>
      </c>
      <c r="U25" s="45">
        <f t="shared" si="4"/>
        <v>25818</v>
      </c>
      <c r="V25" s="45">
        <f>SUM(B25:T25)-U25</f>
        <v>0</v>
      </c>
      <c r="W25" s="36"/>
    </row>
    <row r="26" spans="1:22" s="64" customFormat="1" ht="12">
      <c r="A26" s="28" t="s">
        <v>62</v>
      </c>
      <c r="B26" s="58">
        <v>413</v>
      </c>
      <c r="C26" s="58">
        <v>41</v>
      </c>
      <c r="D26" s="58">
        <v>71</v>
      </c>
      <c r="E26" s="58">
        <v>318</v>
      </c>
      <c r="F26" s="58">
        <v>2983</v>
      </c>
      <c r="G26" s="58">
        <v>269</v>
      </c>
      <c r="H26" s="58">
        <v>2725</v>
      </c>
      <c r="I26" s="58">
        <v>4715</v>
      </c>
      <c r="J26" s="58">
        <v>3079</v>
      </c>
      <c r="K26" s="58">
        <v>208</v>
      </c>
      <c r="L26" s="58">
        <v>453</v>
      </c>
      <c r="M26" s="58">
        <v>222</v>
      </c>
      <c r="N26" s="37">
        <v>137</v>
      </c>
      <c r="O26" s="58">
        <v>256</v>
      </c>
      <c r="P26" s="58">
        <v>1652</v>
      </c>
      <c r="Q26" s="58">
        <v>266</v>
      </c>
      <c r="R26" s="58">
        <v>1706</v>
      </c>
      <c r="S26" s="58">
        <v>213</v>
      </c>
      <c r="T26" s="58">
        <v>48</v>
      </c>
      <c r="U26" s="38">
        <f>SUM(B26:T26)</f>
        <v>19775</v>
      </c>
      <c r="V26" s="36">
        <f>+U27-U26-U25</f>
        <v>0</v>
      </c>
    </row>
    <row r="27" spans="1:24" s="53" customFormat="1" ht="12">
      <c r="A27" s="48" t="s">
        <v>63</v>
      </c>
      <c r="B27" s="49">
        <f aca="true" t="shared" si="5" ref="B27:T27">+B25+B26</f>
        <v>1127</v>
      </c>
      <c r="C27" s="49">
        <f t="shared" si="5"/>
        <v>276</v>
      </c>
      <c r="D27" s="49">
        <f t="shared" si="5"/>
        <v>259</v>
      </c>
      <c r="E27" s="49">
        <f t="shared" si="5"/>
        <v>603</v>
      </c>
      <c r="F27" s="49">
        <f t="shared" si="5"/>
        <v>7262</v>
      </c>
      <c r="G27" s="49">
        <f t="shared" si="5"/>
        <v>901</v>
      </c>
      <c r="H27" s="49">
        <f t="shared" si="5"/>
        <v>4592</v>
      </c>
      <c r="I27" s="49">
        <f t="shared" si="5"/>
        <v>10077</v>
      </c>
      <c r="J27" s="49">
        <f t="shared" si="5"/>
        <v>6779</v>
      </c>
      <c r="K27" s="49">
        <f t="shared" si="5"/>
        <v>550</v>
      </c>
      <c r="L27" s="49">
        <f t="shared" si="5"/>
        <v>2011</v>
      </c>
      <c r="M27" s="49">
        <f t="shared" si="5"/>
        <v>517</v>
      </c>
      <c r="N27" s="49">
        <f t="shared" si="5"/>
        <v>386</v>
      </c>
      <c r="O27" s="49">
        <f t="shared" si="5"/>
        <v>654</v>
      </c>
      <c r="P27" s="49">
        <f t="shared" si="5"/>
        <v>4326</v>
      </c>
      <c r="Q27" s="49">
        <f t="shared" si="5"/>
        <v>735</v>
      </c>
      <c r="R27" s="49">
        <f t="shared" si="5"/>
        <v>3979</v>
      </c>
      <c r="S27" s="49">
        <f t="shared" si="5"/>
        <v>453</v>
      </c>
      <c r="T27" s="49">
        <f t="shared" si="5"/>
        <v>106</v>
      </c>
      <c r="U27" s="50">
        <f>SUM(B27:T27)</f>
        <v>45593</v>
      </c>
      <c r="V27" s="51">
        <f>+U27-U26-SUM(U19:U24)</f>
        <v>0</v>
      </c>
      <c r="W27" s="65"/>
      <c r="X27" s="65"/>
    </row>
    <row r="28" spans="1:24" s="22" customFormat="1" ht="12">
      <c r="A28" s="66" t="s">
        <v>87</v>
      </c>
      <c r="B28" s="66"/>
      <c r="C28" s="114"/>
      <c r="D28" s="66"/>
      <c r="E28" s="114"/>
      <c r="F28" s="66"/>
      <c r="G28" s="66"/>
      <c r="H28" s="114"/>
      <c r="I28" s="66"/>
      <c r="J28" s="66"/>
      <c r="K28" s="114"/>
      <c r="L28" s="66"/>
      <c r="M28" s="66"/>
      <c r="N28" s="114"/>
      <c r="O28" s="66"/>
      <c r="P28" s="66"/>
      <c r="Q28" s="114"/>
      <c r="R28" s="114"/>
      <c r="S28" s="66"/>
      <c r="T28" s="66"/>
      <c r="U28" s="67">
        <v>0</v>
      </c>
      <c r="V28" s="56"/>
      <c r="W28" s="57"/>
      <c r="X28" s="57"/>
    </row>
    <row r="29" spans="1:24" ht="12">
      <c r="A29" s="35" t="s">
        <v>55</v>
      </c>
      <c r="B29" s="58">
        <f aca="true" t="shared" si="6" ref="B29:T29">B9-B19</f>
        <v>143</v>
      </c>
      <c r="C29" s="58">
        <f t="shared" si="6"/>
        <v>70</v>
      </c>
      <c r="D29" s="58">
        <f t="shared" si="6"/>
        <v>43</v>
      </c>
      <c r="E29" s="58">
        <f t="shared" si="6"/>
        <v>197</v>
      </c>
      <c r="F29" s="58">
        <f t="shared" si="6"/>
        <v>1528</v>
      </c>
      <c r="G29" s="58">
        <f t="shared" si="6"/>
        <v>421</v>
      </c>
      <c r="H29" s="58">
        <f t="shared" si="6"/>
        <v>1171</v>
      </c>
      <c r="I29" s="58">
        <f t="shared" si="6"/>
        <v>611</v>
      </c>
      <c r="J29" s="58">
        <f t="shared" si="6"/>
        <v>2543</v>
      </c>
      <c r="K29" s="58">
        <f t="shared" si="6"/>
        <v>676</v>
      </c>
      <c r="L29" s="58">
        <f t="shared" si="6"/>
        <v>724</v>
      </c>
      <c r="M29" s="58">
        <f t="shared" si="6"/>
        <v>145</v>
      </c>
      <c r="N29" s="58">
        <f t="shared" si="6"/>
        <v>397</v>
      </c>
      <c r="O29" s="58">
        <f t="shared" si="6"/>
        <v>1229</v>
      </c>
      <c r="P29" s="58">
        <f t="shared" si="6"/>
        <v>783</v>
      </c>
      <c r="Q29" s="58">
        <f t="shared" si="6"/>
        <v>135</v>
      </c>
      <c r="R29" s="58">
        <f t="shared" si="6"/>
        <v>1444</v>
      </c>
      <c r="S29" s="58">
        <f t="shared" si="6"/>
        <v>77</v>
      </c>
      <c r="T29" s="58">
        <f t="shared" si="6"/>
        <v>227</v>
      </c>
      <c r="U29" s="38">
        <f aca="true" t="shared" si="7" ref="U29:U37">SUM(B29:T29)</f>
        <v>12564</v>
      </c>
      <c r="V29" s="39"/>
      <c r="W29" s="41"/>
      <c r="X29" s="41"/>
    </row>
    <row r="30" spans="1:24" ht="12">
      <c r="A30" s="40" t="s">
        <v>56</v>
      </c>
      <c r="B30" s="58">
        <f aca="true" t="shared" si="8" ref="B30:T30">B10-B20</f>
        <v>107</v>
      </c>
      <c r="C30" s="58">
        <f t="shared" si="8"/>
        <v>39</v>
      </c>
      <c r="D30" s="58">
        <f t="shared" si="8"/>
        <v>26</v>
      </c>
      <c r="E30" s="58">
        <f t="shared" si="8"/>
        <v>138</v>
      </c>
      <c r="F30" s="58">
        <f t="shared" si="8"/>
        <v>1192</v>
      </c>
      <c r="G30" s="58">
        <f t="shared" si="8"/>
        <v>284</v>
      </c>
      <c r="H30" s="58">
        <f t="shared" si="8"/>
        <v>697</v>
      </c>
      <c r="I30" s="58">
        <f t="shared" si="8"/>
        <v>444</v>
      </c>
      <c r="J30" s="58">
        <f t="shared" si="8"/>
        <v>1697</v>
      </c>
      <c r="K30" s="58">
        <f t="shared" si="8"/>
        <v>496</v>
      </c>
      <c r="L30" s="58">
        <f t="shared" si="8"/>
        <v>603</v>
      </c>
      <c r="M30" s="58">
        <f t="shared" si="8"/>
        <v>109</v>
      </c>
      <c r="N30" s="58">
        <f t="shared" si="8"/>
        <v>341</v>
      </c>
      <c r="O30" s="58">
        <f t="shared" si="8"/>
        <v>776</v>
      </c>
      <c r="P30" s="58">
        <f t="shared" si="8"/>
        <v>483</v>
      </c>
      <c r="Q30" s="58">
        <f t="shared" si="8"/>
        <v>90</v>
      </c>
      <c r="R30" s="58">
        <f t="shared" si="8"/>
        <v>1103</v>
      </c>
      <c r="S30" s="58">
        <f t="shared" si="8"/>
        <v>57</v>
      </c>
      <c r="T30" s="58">
        <f t="shared" si="8"/>
        <v>149</v>
      </c>
      <c r="U30" s="38">
        <f t="shared" si="7"/>
        <v>8831</v>
      </c>
      <c r="V30" s="39"/>
      <c r="W30" s="41"/>
      <c r="X30" s="41"/>
    </row>
    <row r="31" spans="1:24" ht="12">
      <c r="A31" s="40" t="s">
        <v>57</v>
      </c>
      <c r="B31" s="58">
        <f aca="true" t="shared" si="9" ref="B31:T31">B11-B21</f>
        <v>115</v>
      </c>
      <c r="C31" s="58">
        <f t="shared" si="9"/>
        <v>54</v>
      </c>
      <c r="D31" s="58">
        <f t="shared" si="9"/>
        <v>25</v>
      </c>
      <c r="E31" s="58">
        <f t="shared" si="9"/>
        <v>129</v>
      </c>
      <c r="F31" s="58">
        <f t="shared" si="9"/>
        <v>1008</v>
      </c>
      <c r="G31" s="58">
        <f t="shared" si="9"/>
        <v>214</v>
      </c>
      <c r="H31" s="58">
        <f t="shared" si="9"/>
        <v>728</v>
      </c>
      <c r="I31" s="58">
        <f t="shared" si="9"/>
        <v>343</v>
      </c>
      <c r="J31" s="58">
        <f t="shared" si="9"/>
        <v>1421</v>
      </c>
      <c r="K31" s="58">
        <f t="shared" si="9"/>
        <v>448</v>
      </c>
      <c r="L31" s="58">
        <f t="shared" si="9"/>
        <v>564</v>
      </c>
      <c r="M31" s="58">
        <f t="shared" si="9"/>
        <v>110</v>
      </c>
      <c r="N31" s="58">
        <f t="shared" si="9"/>
        <v>220</v>
      </c>
      <c r="O31" s="58">
        <f t="shared" si="9"/>
        <v>871</v>
      </c>
      <c r="P31" s="58">
        <f t="shared" si="9"/>
        <v>469</v>
      </c>
      <c r="Q31" s="58">
        <f t="shared" si="9"/>
        <v>54</v>
      </c>
      <c r="R31" s="58">
        <f t="shared" si="9"/>
        <v>973</v>
      </c>
      <c r="S31" s="58">
        <f t="shared" si="9"/>
        <v>49</v>
      </c>
      <c r="T31" s="58">
        <f t="shared" si="9"/>
        <v>175</v>
      </c>
      <c r="U31" s="38">
        <f t="shared" si="7"/>
        <v>7970</v>
      </c>
      <c r="V31" s="39"/>
      <c r="W31" s="41"/>
      <c r="X31" s="41"/>
    </row>
    <row r="32" spans="1:24" ht="12">
      <c r="A32" s="40" t="s">
        <v>58</v>
      </c>
      <c r="B32" s="58">
        <f aca="true" t="shared" si="10" ref="B32:T32">B12-B22</f>
        <v>0</v>
      </c>
      <c r="C32" s="58">
        <f t="shared" si="10"/>
        <v>58</v>
      </c>
      <c r="D32" s="58">
        <f t="shared" si="10"/>
        <v>0</v>
      </c>
      <c r="E32" s="58">
        <f t="shared" si="10"/>
        <v>0</v>
      </c>
      <c r="F32" s="58">
        <f t="shared" si="10"/>
        <v>1</v>
      </c>
      <c r="G32" s="58">
        <f t="shared" si="10"/>
        <v>201</v>
      </c>
      <c r="H32" s="58">
        <f t="shared" si="10"/>
        <v>0</v>
      </c>
      <c r="I32" s="58">
        <f t="shared" si="10"/>
        <v>65</v>
      </c>
      <c r="J32" s="58">
        <f t="shared" si="10"/>
        <v>6</v>
      </c>
      <c r="K32" s="58">
        <f t="shared" si="10"/>
        <v>0</v>
      </c>
      <c r="L32" s="58">
        <f t="shared" si="10"/>
        <v>266</v>
      </c>
      <c r="M32" s="58">
        <f t="shared" si="10"/>
        <v>81</v>
      </c>
      <c r="N32" s="58">
        <f t="shared" si="10"/>
        <v>1</v>
      </c>
      <c r="O32" s="58">
        <f t="shared" si="10"/>
        <v>277</v>
      </c>
      <c r="P32" s="58">
        <f t="shared" si="10"/>
        <v>2</v>
      </c>
      <c r="Q32" s="58">
        <f t="shared" si="10"/>
        <v>0</v>
      </c>
      <c r="R32" s="58">
        <f t="shared" si="10"/>
        <v>1</v>
      </c>
      <c r="S32" s="58">
        <f t="shared" si="10"/>
        <v>1</v>
      </c>
      <c r="T32" s="58">
        <f t="shared" si="10"/>
        <v>1</v>
      </c>
      <c r="U32" s="38">
        <f t="shared" si="7"/>
        <v>961</v>
      </c>
      <c r="V32" s="42"/>
      <c r="W32" s="59"/>
      <c r="X32" s="41"/>
    </row>
    <row r="33" spans="1:24" ht="12">
      <c r="A33" s="40" t="s">
        <v>59</v>
      </c>
      <c r="B33" s="58">
        <f aca="true" t="shared" si="11" ref="B33:T33">B13-B23</f>
        <v>14</v>
      </c>
      <c r="C33" s="58">
        <f t="shared" si="11"/>
        <v>48</v>
      </c>
      <c r="D33" s="58">
        <f t="shared" si="11"/>
        <v>9</v>
      </c>
      <c r="E33" s="58">
        <f t="shared" si="11"/>
        <v>0</v>
      </c>
      <c r="F33" s="58">
        <f t="shared" si="11"/>
        <v>0</v>
      </c>
      <c r="G33" s="58">
        <f t="shared" si="11"/>
        <v>209</v>
      </c>
      <c r="H33" s="58">
        <f t="shared" si="11"/>
        <v>0</v>
      </c>
      <c r="I33" s="58">
        <f t="shared" si="11"/>
        <v>169</v>
      </c>
      <c r="J33" s="58">
        <f t="shared" si="11"/>
        <v>179</v>
      </c>
      <c r="K33" s="58">
        <f t="shared" si="11"/>
        <v>0</v>
      </c>
      <c r="L33" s="58">
        <f t="shared" si="11"/>
        <v>265</v>
      </c>
      <c r="M33" s="58">
        <f t="shared" si="11"/>
        <v>104</v>
      </c>
      <c r="N33" s="58">
        <f t="shared" si="11"/>
        <v>98</v>
      </c>
      <c r="O33" s="58">
        <f t="shared" si="11"/>
        <v>0</v>
      </c>
      <c r="P33" s="58">
        <f t="shared" si="11"/>
        <v>134</v>
      </c>
      <c r="Q33" s="58">
        <f t="shared" si="11"/>
        <v>0</v>
      </c>
      <c r="R33" s="58">
        <f t="shared" si="11"/>
        <v>0</v>
      </c>
      <c r="S33" s="58">
        <f t="shared" si="11"/>
        <v>0</v>
      </c>
      <c r="T33" s="58">
        <f t="shared" si="11"/>
        <v>0</v>
      </c>
      <c r="U33" s="38">
        <f t="shared" si="7"/>
        <v>1229</v>
      </c>
      <c r="V33" s="42"/>
      <c r="W33" s="59"/>
      <c r="X33" s="41"/>
    </row>
    <row r="34" spans="1:24" ht="12">
      <c r="A34" s="40" t="s">
        <v>60</v>
      </c>
      <c r="B34" s="58">
        <f>B14-B24</f>
        <v>0</v>
      </c>
      <c r="C34" s="58"/>
      <c r="D34" s="58">
        <f aca="true" t="shared" si="12" ref="D34:T34">D14-D24</f>
        <v>0</v>
      </c>
      <c r="E34" s="58">
        <f t="shared" si="12"/>
        <v>0</v>
      </c>
      <c r="F34" s="58">
        <f t="shared" si="12"/>
        <v>0</v>
      </c>
      <c r="G34" s="58">
        <f t="shared" si="12"/>
        <v>0</v>
      </c>
      <c r="H34" s="58">
        <f t="shared" si="12"/>
        <v>0</v>
      </c>
      <c r="I34" s="58">
        <f t="shared" si="12"/>
        <v>0</v>
      </c>
      <c r="J34" s="58">
        <f t="shared" si="12"/>
        <v>0</v>
      </c>
      <c r="K34" s="58">
        <f t="shared" si="12"/>
        <v>0</v>
      </c>
      <c r="L34" s="58">
        <f t="shared" si="12"/>
        <v>271</v>
      </c>
      <c r="M34" s="58">
        <f t="shared" si="12"/>
        <v>0</v>
      </c>
      <c r="N34" s="58">
        <f t="shared" si="12"/>
        <v>0</v>
      </c>
      <c r="O34" s="58">
        <f t="shared" si="12"/>
        <v>0</v>
      </c>
      <c r="P34" s="58">
        <f t="shared" si="12"/>
        <v>0</v>
      </c>
      <c r="Q34" s="58">
        <f t="shared" si="12"/>
        <v>0</v>
      </c>
      <c r="R34" s="58">
        <f t="shared" si="12"/>
        <v>0</v>
      </c>
      <c r="S34" s="58">
        <f t="shared" si="12"/>
        <v>0</v>
      </c>
      <c r="T34" s="58">
        <f t="shared" si="12"/>
        <v>0</v>
      </c>
      <c r="U34" s="38">
        <f t="shared" si="7"/>
        <v>271</v>
      </c>
      <c r="V34" s="43"/>
      <c r="W34" s="61"/>
      <c r="X34" s="41"/>
    </row>
    <row r="35" spans="1:24" s="46" customFormat="1" ht="12">
      <c r="A35" s="44" t="s">
        <v>61</v>
      </c>
      <c r="B35" s="45">
        <f aca="true" t="shared" si="13" ref="B35:T35">SUM(B29:B34)</f>
        <v>379</v>
      </c>
      <c r="C35" s="45">
        <f t="shared" si="13"/>
        <v>269</v>
      </c>
      <c r="D35" s="45">
        <f t="shared" si="13"/>
        <v>103</v>
      </c>
      <c r="E35" s="45">
        <f t="shared" si="13"/>
        <v>464</v>
      </c>
      <c r="F35" s="45">
        <f t="shared" si="13"/>
        <v>3729</v>
      </c>
      <c r="G35" s="45">
        <f t="shared" si="13"/>
        <v>1329</v>
      </c>
      <c r="H35" s="45">
        <f t="shared" si="13"/>
        <v>2596</v>
      </c>
      <c r="I35" s="45">
        <f t="shared" si="13"/>
        <v>1632</v>
      </c>
      <c r="J35" s="45">
        <f t="shared" si="13"/>
        <v>5846</v>
      </c>
      <c r="K35" s="45">
        <f t="shared" si="13"/>
        <v>1620</v>
      </c>
      <c r="L35" s="45">
        <f t="shared" si="13"/>
        <v>2693</v>
      </c>
      <c r="M35" s="45">
        <f t="shared" si="13"/>
        <v>549</v>
      </c>
      <c r="N35" s="45">
        <f t="shared" si="13"/>
        <v>1057</v>
      </c>
      <c r="O35" s="45">
        <f t="shared" si="13"/>
        <v>3153</v>
      </c>
      <c r="P35" s="45">
        <f t="shared" si="13"/>
        <v>1871</v>
      </c>
      <c r="Q35" s="45">
        <f t="shared" si="13"/>
        <v>279</v>
      </c>
      <c r="R35" s="45">
        <f t="shared" si="13"/>
        <v>3521</v>
      </c>
      <c r="S35" s="45">
        <f t="shared" si="13"/>
        <v>184</v>
      </c>
      <c r="T35" s="45">
        <f t="shared" si="13"/>
        <v>552</v>
      </c>
      <c r="U35" s="116">
        <f t="shared" si="7"/>
        <v>31826</v>
      </c>
      <c r="V35" s="45">
        <f>SUM(B35:T35)-U35</f>
        <v>0</v>
      </c>
      <c r="W35" s="36"/>
      <c r="X35" s="45"/>
    </row>
    <row r="36" spans="1:24" ht="12">
      <c r="A36" s="28" t="s">
        <v>62</v>
      </c>
      <c r="B36" s="58">
        <f aca="true" t="shared" si="14" ref="B36:T36">B16-B26</f>
        <v>214</v>
      </c>
      <c r="C36" s="58">
        <f t="shared" si="14"/>
        <v>52</v>
      </c>
      <c r="D36" s="58">
        <f t="shared" si="14"/>
        <v>36</v>
      </c>
      <c r="E36" s="58">
        <f t="shared" si="14"/>
        <v>938</v>
      </c>
      <c r="F36" s="58">
        <f t="shared" si="14"/>
        <v>1846</v>
      </c>
      <c r="G36" s="58">
        <f t="shared" si="14"/>
        <v>663</v>
      </c>
      <c r="H36" s="58">
        <f t="shared" si="14"/>
        <v>3556</v>
      </c>
      <c r="I36" s="58">
        <f t="shared" si="14"/>
        <v>948</v>
      </c>
      <c r="J36" s="58">
        <f t="shared" si="14"/>
        <v>4709</v>
      </c>
      <c r="K36" s="58">
        <f t="shared" si="14"/>
        <v>1217</v>
      </c>
      <c r="L36" s="58">
        <f t="shared" si="14"/>
        <v>538</v>
      </c>
      <c r="M36" s="58">
        <f t="shared" si="14"/>
        <v>367</v>
      </c>
      <c r="N36" s="58">
        <f t="shared" si="14"/>
        <v>483</v>
      </c>
      <c r="O36" s="58">
        <f t="shared" si="14"/>
        <v>1887</v>
      </c>
      <c r="P36" s="58">
        <f t="shared" si="14"/>
        <v>1067</v>
      </c>
      <c r="Q36" s="58">
        <f t="shared" si="14"/>
        <v>226</v>
      </c>
      <c r="R36" s="58">
        <f t="shared" si="14"/>
        <v>2227</v>
      </c>
      <c r="S36" s="58">
        <f t="shared" si="14"/>
        <v>125</v>
      </c>
      <c r="T36" s="58">
        <f t="shared" si="14"/>
        <v>266</v>
      </c>
      <c r="U36" s="117">
        <f t="shared" si="7"/>
        <v>21365</v>
      </c>
      <c r="V36" s="36">
        <f>+U37-U36-U35</f>
        <v>0</v>
      </c>
      <c r="W36" s="64"/>
      <c r="X36" s="41"/>
    </row>
    <row r="37" spans="1:24" s="72" customFormat="1" ht="12">
      <c r="A37" s="68" t="s">
        <v>63</v>
      </c>
      <c r="B37" s="69">
        <f aca="true" t="shared" si="15" ref="B37:T37">+B35+B36</f>
        <v>593</v>
      </c>
      <c r="C37" s="69">
        <f t="shared" si="15"/>
        <v>321</v>
      </c>
      <c r="D37" s="69">
        <f t="shared" si="15"/>
        <v>139</v>
      </c>
      <c r="E37" s="69">
        <f t="shared" si="15"/>
        <v>1402</v>
      </c>
      <c r="F37" s="69">
        <f t="shared" si="15"/>
        <v>5575</v>
      </c>
      <c r="G37" s="69">
        <f t="shared" si="15"/>
        <v>1992</v>
      </c>
      <c r="H37" s="69">
        <f t="shared" si="15"/>
        <v>6152</v>
      </c>
      <c r="I37" s="69">
        <f t="shared" si="15"/>
        <v>2580</v>
      </c>
      <c r="J37" s="69">
        <f t="shared" si="15"/>
        <v>10555</v>
      </c>
      <c r="K37" s="69">
        <f t="shared" si="15"/>
        <v>2837</v>
      </c>
      <c r="L37" s="69">
        <f t="shared" si="15"/>
        <v>3231</v>
      </c>
      <c r="M37" s="69">
        <f t="shared" si="15"/>
        <v>916</v>
      </c>
      <c r="N37" s="69">
        <f t="shared" si="15"/>
        <v>1540</v>
      </c>
      <c r="O37" s="69">
        <f t="shared" si="15"/>
        <v>5040</v>
      </c>
      <c r="P37" s="69">
        <f t="shared" si="15"/>
        <v>2938</v>
      </c>
      <c r="Q37" s="69">
        <f t="shared" si="15"/>
        <v>505</v>
      </c>
      <c r="R37" s="69">
        <f t="shared" si="15"/>
        <v>5748</v>
      </c>
      <c r="S37" s="69">
        <f t="shared" si="15"/>
        <v>309</v>
      </c>
      <c r="T37" s="69">
        <f t="shared" si="15"/>
        <v>818</v>
      </c>
      <c r="U37" s="70">
        <f t="shared" si="7"/>
        <v>53191</v>
      </c>
      <c r="V37" s="51">
        <f>+U37-U36-SUM(U29:U34)</f>
        <v>0</v>
      </c>
      <c r="W37" s="65"/>
      <c r="X37" s="71"/>
    </row>
    <row r="38" spans="1:24" ht="13.5" customHeight="1">
      <c r="A38" s="73" t="s">
        <v>92</v>
      </c>
      <c r="B38" s="74"/>
      <c r="C38" s="75"/>
      <c r="D38" s="74"/>
      <c r="E38" s="75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5"/>
      <c r="R38" s="74"/>
      <c r="S38" s="74"/>
      <c r="T38" s="74"/>
      <c r="U38" s="75"/>
      <c r="V38" s="76"/>
      <c r="W38" s="75"/>
      <c r="X38" s="75"/>
    </row>
    <row r="39" spans="1:24" ht="12">
      <c r="A39" s="73" t="s">
        <v>91</v>
      </c>
      <c r="B39" s="74"/>
      <c r="C39" s="75"/>
      <c r="D39" s="74"/>
      <c r="E39" s="75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5"/>
      <c r="R39" s="74"/>
      <c r="S39" s="74"/>
      <c r="T39" s="74"/>
      <c r="U39" s="75"/>
      <c r="V39" s="76"/>
      <c r="W39" s="75"/>
      <c r="X39" s="75"/>
    </row>
    <row r="40" spans="1:24" ht="12">
      <c r="A40" s="77" t="s">
        <v>66</v>
      </c>
      <c r="B40" s="78"/>
      <c r="C40" s="78"/>
      <c r="D40" s="78"/>
      <c r="E40" s="78"/>
      <c r="F40" s="78"/>
      <c r="G40" s="78"/>
      <c r="H40" s="77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/>
      <c r="W40" s="80"/>
      <c r="X40" s="80"/>
    </row>
    <row r="42" spans="1:24" ht="12">
      <c r="A42" s="81" t="s">
        <v>67</v>
      </c>
      <c r="B42" s="81"/>
      <c r="C42" s="83"/>
      <c r="D42" s="81"/>
      <c r="E42" s="83"/>
      <c r="F42" s="81"/>
      <c r="G42" s="81"/>
      <c r="H42" s="82"/>
      <c r="I42" s="81"/>
      <c r="J42" s="83"/>
      <c r="K42" s="83"/>
      <c r="L42" s="83"/>
      <c r="M42" s="83"/>
      <c r="N42" s="83"/>
      <c r="O42" s="81"/>
      <c r="P42" s="83"/>
      <c r="Q42" s="83"/>
      <c r="R42" s="82"/>
      <c r="S42" s="81"/>
      <c r="T42" s="81"/>
      <c r="U42" s="81"/>
      <c r="V42" s="21"/>
      <c r="W42" s="21"/>
      <c r="X42" s="21"/>
    </row>
    <row r="43" spans="1:24" ht="12">
      <c r="A43" s="84" t="s">
        <v>68</v>
      </c>
      <c r="B43" s="85">
        <v>472</v>
      </c>
      <c r="C43" s="87"/>
      <c r="D43" s="87">
        <v>81</v>
      </c>
      <c r="E43" s="87">
        <v>437</v>
      </c>
      <c r="F43" s="85">
        <v>2249</v>
      </c>
      <c r="G43" s="85">
        <v>532</v>
      </c>
      <c r="H43" s="84">
        <v>2126</v>
      </c>
      <c r="I43" s="85">
        <v>1941</v>
      </c>
      <c r="J43" s="86">
        <v>2696</v>
      </c>
      <c r="K43" s="87">
        <v>675</v>
      </c>
      <c r="L43" s="86">
        <v>414</v>
      </c>
      <c r="M43" s="86">
        <v>186</v>
      </c>
      <c r="N43" s="87">
        <v>318</v>
      </c>
      <c r="O43" s="85">
        <v>1160</v>
      </c>
      <c r="P43" s="86">
        <v>1512</v>
      </c>
      <c r="Q43" s="87"/>
      <c r="R43" s="85">
        <v>1929</v>
      </c>
      <c r="S43" s="85">
        <v>210</v>
      </c>
      <c r="T43" s="85">
        <v>177</v>
      </c>
      <c r="U43" s="88">
        <v>17115</v>
      </c>
      <c r="V43" s="2"/>
      <c r="W43" s="2"/>
      <c r="X43" s="2"/>
    </row>
    <row r="44" spans="1:24" ht="12">
      <c r="A44" s="89" t="s">
        <v>69</v>
      </c>
      <c r="B44" s="39">
        <v>286</v>
      </c>
      <c r="C44" s="87"/>
      <c r="D44" s="87">
        <v>88</v>
      </c>
      <c r="E44" s="87">
        <v>359</v>
      </c>
      <c r="F44" s="39">
        <v>1743</v>
      </c>
      <c r="G44" s="39">
        <v>397</v>
      </c>
      <c r="H44" s="89">
        <v>1741</v>
      </c>
      <c r="I44" s="39">
        <v>1764</v>
      </c>
      <c r="J44" s="39">
        <v>2350</v>
      </c>
      <c r="K44" s="87">
        <v>508</v>
      </c>
      <c r="L44" s="39">
        <v>351</v>
      </c>
      <c r="M44" s="39">
        <v>224</v>
      </c>
      <c r="N44" s="87">
        <v>340</v>
      </c>
      <c r="O44" s="39">
        <v>809</v>
      </c>
      <c r="P44" s="39">
        <v>1308</v>
      </c>
      <c r="Q44" s="87"/>
      <c r="R44" s="39">
        <v>1413</v>
      </c>
      <c r="S44" s="39">
        <v>155</v>
      </c>
      <c r="T44" s="39"/>
      <c r="U44" s="88">
        <v>13836</v>
      </c>
      <c r="V44" s="39"/>
      <c r="W44" s="39"/>
      <c r="X44" s="39"/>
    </row>
    <row r="45" spans="1:24" ht="12">
      <c r="A45" s="89" t="s">
        <v>70</v>
      </c>
      <c r="B45" s="39">
        <v>207</v>
      </c>
      <c r="C45" s="87"/>
      <c r="D45" s="87">
        <v>99</v>
      </c>
      <c r="E45" s="87">
        <v>264</v>
      </c>
      <c r="F45" s="39">
        <v>1747</v>
      </c>
      <c r="G45" s="39">
        <v>418</v>
      </c>
      <c r="H45" s="89">
        <v>1837</v>
      </c>
      <c r="I45" s="39">
        <v>1437</v>
      </c>
      <c r="J45" s="39">
        <v>2317</v>
      </c>
      <c r="K45" s="87"/>
      <c r="L45" s="39">
        <v>352</v>
      </c>
      <c r="M45" s="39">
        <v>251</v>
      </c>
      <c r="N45" s="87">
        <v>330</v>
      </c>
      <c r="O45" s="39">
        <v>773</v>
      </c>
      <c r="P45" s="39">
        <v>1108</v>
      </c>
      <c r="Q45" s="87"/>
      <c r="R45" s="39">
        <v>1449</v>
      </c>
      <c r="S45" s="39">
        <v>203</v>
      </c>
      <c r="T45" s="39">
        <v>134</v>
      </c>
      <c r="U45" s="88">
        <v>12926</v>
      </c>
      <c r="V45" s="39"/>
      <c r="W45" s="39"/>
      <c r="X45" s="39"/>
    </row>
    <row r="46" spans="1:24" ht="12">
      <c r="A46" s="89" t="s">
        <v>71</v>
      </c>
      <c r="B46" s="39">
        <v>207</v>
      </c>
      <c r="C46" s="87"/>
      <c r="D46" s="87">
        <v>101</v>
      </c>
      <c r="E46" s="87">
        <v>212</v>
      </c>
      <c r="F46" s="39">
        <v>1612</v>
      </c>
      <c r="G46" s="39">
        <v>421</v>
      </c>
      <c r="H46" s="89">
        <v>2138</v>
      </c>
      <c r="I46" s="39">
        <v>1275</v>
      </c>
      <c r="J46" s="39">
        <v>2131</v>
      </c>
      <c r="K46" s="87"/>
      <c r="L46" s="39">
        <v>363</v>
      </c>
      <c r="M46" s="39">
        <v>221</v>
      </c>
      <c r="N46" s="87">
        <v>605</v>
      </c>
      <c r="O46" s="39">
        <v>557</v>
      </c>
      <c r="P46" s="39">
        <v>985</v>
      </c>
      <c r="Q46" s="87"/>
      <c r="R46" s="39">
        <v>1322</v>
      </c>
      <c r="S46" s="39">
        <v>174</v>
      </c>
      <c r="T46" s="39">
        <v>156</v>
      </c>
      <c r="U46" s="88">
        <v>12480</v>
      </c>
      <c r="V46" s="39"/>
      <c r="W46" s="39"/>
      <c r="X46" s="39"/>
    </row>
    <row r="47" spans="1:24" ht="12">
      <c r="A47" s="89" t="s">
        <v>72</v>
      </c>
      <c r="B47" s="39">
        <v>163</v>
      </c>
      <c r="C47" s="87"/>
      <c r="D47" s="87">
        <v>114</v>
      </c>
      <c r="E47" s="87"/>
      <c r="F47" s="39"/>
      <c r="G47" s="39">
        <v>309</v>
      </c>
      <c r="H47" s="89"/>
      <c r="I47" s="39">
        <v>1117</v>
      </c>
      <c r="J47" s="39">
        <v>0</v>
      </c>
      <c r="K47" s="87"/>
      <c r="L47" s="39">
        <v>325</v>
      </c>
      <c r="M47" s="39">
        <v>205</v>
      </c>
      <c r="N47" s="87">
        <v>592</v>
      </c>
      <c r="O47" s="39">
        <v>0</v>
      </c>
      <c r="P47" s="39">
        <v>294</v>
      </c>
      <c r="Q47" s="87"/>
      <c r="R47" s="39"/>
      <c r="S47" s="39"/>
      <c r="T47" s="39">
        <v>0</v>
      </c>
      <c r="U47" s="88">
        <v>3119</v>
      </c>
      <c r="V47" s="39"/>
      <c r="W47" s="39"/>
      <c r="X47" s="39"/>
    </row>
    <row r="48" spans="1:24" ht="12">
      <c r="A48" s="89" t="s">
        <v>73</v>
      </c>
      <c r="B48" s="39">
        <v>0</v>
      </c>
      <c r="C48" s="87"/>
      <c r="D48" s="39">
        <v>0</v>
      </c>
      <c r="E48" s="87"/>
      <c r="F48" s="39"/>
      <c r="G48" s="39">
        <v>0</v>
      </c>
      <c r="H48" s="89"/>
      <c r="I48" s="39">
        <v>0</v>
      </c>
      <c r="J48" s="39">
        <v>0</v>
      </c>
      <c r="K48" s="87"/>
      <c r="L48" s="39">
        <v>360</v>
      </c>
      <c r="M48" s="39">
        <v>0</v>
      </c>
      <c r="N48" s="87"/>
      <c r="O48" s="39">
        <v>0</v>
      </c>
      <c r="P48" s="39">
        <v>0</v>
      </c>
      <c r="Q48" s="87"/>
      <c r="R48" s="39"/>
      <c r="S48" s="39"/>
      <c r="T48" s="39">
        <v>0</v>
      </c>
      <c r="U48" s="88">
        <v>360</v>
      </c>
      <c r="V48" s="39"/>
      <c r="W48" s="39"/>
      <c r="X48" s="39"/>
    </row>
    <row r="49" spans="1:24" ht="12">
      <c r="A49" s="90" t="s">
        <v>74</v>
      </c>
      <c r="B49" s="51">
        <v>1335</v>
      </c>
      <c r="C49" s="51"/>
      <c r="D49" s="51">
        <v>483</v>
      </c>
      <c r="E49" s="51">
        <v>1272</v>
      </c>
      <c r="F49" s="51">
        <v>7351</v>
      </c>
      <c r="G49" s="51">
        <v>2077</v>
      </c>
      <c r="H49" s="51">
        <v>7842</v>
      </c>
      <c r="I49" s="51">
        <v>7534</v>
      </c>
      <c r="J49" s="51">
        <v>9494</v>
      </c>
      <c r="K49" s="51">
        <v>1183</v>
      </c>
      <c r="L49" s="51">
        <v>2165</v>
      </c>
      <c r="M49" s="51">
        <v>1087</v>
      </c>
      <c r="N49" s="51">
        <v>2185</v>
      </c>
      <c r="O49" s="51">
        <v>3299</v>
      </c>
      <c r="P49" s="51">
        <v>5207</v>
      </c>
      <c r="Q49" s="51"/>
      <c r="R49" s="51">
        <v>6113</v>
      </c>
      <c r="S49" s="51">
        <v>742</v>
      </c>
      <c r="T49" s="51">
        <v>467</v>
      </c>
      <c r="U49" s="88">
        <v>59836</v>
      </c>
      <c r="V49" s="51">
        <v>59836</v>
      </c>
      <c r="W49" s="51"/>
      <c r="X49" s="51"/>
    </row>
    <row r="50" spans="1:24" ht="12">
      <c r="A50" s="87" t="s">
        <v>75</v>
      </c>
      <c r="B50" s="91">
        <v>760</v>
      </c>
      <c r="C50" s="87"/>
      <c r="D50" s="91">
        <v>169</v>
      </c>
      <c r="E50" s="87">
        <v>103</v>
      </c>
      <c r="F50" s="91">
        <v>5344</v>
      </c>
      <c r="G50" s="91">
        <v>705</v>
      </c>
      <c r="H50" s="91">
        <v>7389</v>
      </c>
      <c r="I50" s="91">
        <v>5275</v>
      </c>
      <c r="J50" s="91">
        <v>6902</v>
      </c>
      <c r="K50" s="87">
        <v>1</v>
      </c>
      <c r="L50" s="91">
        <v>1222</v>
      </c>
      <c r="M50" s="91">
        <v>559</v>
      </c>
      <c r="N50" s="87">
        <v>552</v>
      </c>
      <c r="O50" s="91">
        <v>1968</v>
      </c>
      <c r="P50" s="39">
        <v>2527</v>
      </c>
      <c r="Q50" s="87"/>
      <c r="R50" s="91">
        <v>3786</v>
      </c>
      <c r="S50" s="91">
        <v>458</v>
      </c>
      <c r="T50" s="91">
        <v>247</v>
      </c>
      <c r="U50" s="92">
        <v>37967</v>
      </c>
      <c r="V50" s="39"/>
      <c r="W50" s="39"/>
      <c r="X50" s="39"/>
    </row>
    <row r="51" spans="1:24" ht="12">
      <c r="A51" s="93" t="s">
        <v>76</v>
      </c>
      <c r="B51" s="94">
        <v>2095</v>
      </c>
      <c r="C51" s="94"/>
      <c r="D51" s="94">
        <v>652</v>
      </c>
      <c r="E51" s="94">
        <v>1375</v>
      </c>
      <c r="F51" s="94">
        <v>12695</v>
      </c>
      <c r="G51" s="94">
        <v>2782</v>
      </c>
      <c r="H51" s="94">
        <v>15231</v>
      </c>
      <c r="I51" s="94">
        <v>12809</v>
      </c>
      <c r="J51" s="94">
        <v>16396</v>
      </c>
      <c r="K51" s="94">
        <v>1184</v>
      </c>
      <c r="L51" s="94">
        <v>3387</v>
      </c>
      <c r="M51" s="94">
        <v>1646</v>
      </c>
      <c r="N51" s="94">
        <v>2737</v>
      </c>
      <c r="O51" s="94">
        <v>5267</v>
      </c>
      <c r="P51" s="94">
        <v>7734</v>
      </c>
      <c r="Q51" s="94"/>
      <c r="R51" s="94">
        <v>9899</v>
      </c>
      <c r="S51" s="94">
        <v>1200</v>
      </c>
      <c r="T51" s="94">
        <v>714</v>
      </c>
      <c r="U51" s="88">
        <v>97803</v>
      </c>
      <c r="V51" s="94"/>
      <c r="W51" s="94"/>
      <c r="X51" s="94"/>
    </row>
    <row r="52" spans="1:24" ht="12">
      <c r="A52" s="95" t="s">
        <v>64</v>
      </c>
      <c r="B52" s="95"/>
      <c r="C52" s="87"/>
      <c r="D52" s="95"/>
      <c r="E52" s="87"/>
      <c r="F52" s="95"/>
      <c r="G52" s="95"/>
      <c r="H52" s="82"/>
      <c r="I52" s="95"/>
      <c r="J52" s="95"/>
      <c r="K52" s="87"/>
      <c r="L52" s="95"/>
      <c r="M52" s="95"/>
      <c r="N52" s="87"/>
      <c r="O52" s="95"/>
      <c r="P52" s="95"/>
      <c r="Q52" s="87"/>
      <c r="R52" s="82"/>
      <c r="S52" s="95"/>
      <c r="T52" s="95"/>
      <c r="U52" s="95"/>
      <c r="V52" s="56"/>
      <c r="W52" s="56"/>
      <c r="X52" s="56"/>
    </row>
    <row r="53" spans="1:24" ht="12">
      <c r="A53" s="84" t="s">
        <v>68</v>
      </c>
      <c r="B53" s="96">
        <v>273</v>
      </c>
      <c r="C53" s="96"/>
      <c r="D53" s="96">
        <v>49</v>
      </c>
      <c r="E53" s="96">
        <v>116</v>
      </c>
      <c r="F53" s="96">
        <v>1225</v>
      </c>
      <c r="G53" s="96">
        <v>168</v>
      </c>
      <c r="H53" s="96">
        <v>923</v>
      </c>
      <c r="I53" s="96">
        <v>1603</v>
      </c>
      <c r="J53" s="96">
        <v>1122</v>
      </c>
      <c r="K53" s="96">
        <v>94</v>
      </c>
      <c r="L53" s="96">
        <v>177</v>
      </c>
      <c r="M53" s="96">
        <v>70</v>
      </c>
      <c r="N53" s="96">
        <v>72</v>
      </c>
      <c r="O53" s="96">
        <v>170</v>
      </c>
      <c r="P53" s="96">
        <v>872</v>
      </c>
      <c r="Q53" s="96"/>
      <c r="R53" s="96">
        <v>881</v>
      </c>
      <c r="S53" s="96">
        <v>106</v>
      </c>
      <c r="T53" s="96">
        <v>19</v>
      </c>
      <c r="U53" s="88">
        <v>7940</v>
      </c>
      <c r="V53" s="39"/>
      <c r="W53" s="39"/>
      <c r="X53" s="39"/>
    </row>
    <row r="54" spans="1:24" ht="12">
      <c r="A54" s="89" t="s">
        <v>69</v>
      </c>
      <c r="B54" s="96">
        <v>182</v>
      </c>
      <c r="C54" s="96"/>
      <c r="D54" s="96">
        <v>58</v>
      </c>
      <c r="E54" s="96">
        <v>74</v>
      </c>
      <c r="F54" s="96">
        <v>899</v>
      </c>
      <c r="G54" s="96">
        <v>112</v>
      </c>
      <c r="H54" s="96">
        <v>762</v>
      </c>
      <c r="I54" s="96">
        <v>1429</v>
      </c>
      <c r="J54" s="96">
        <v>987</v>
      </c>
      <c r="K54" s="96">
        <v>70</v>
      </c>
      <c r="L54" s="96">
        <v>143</v>
      </c>
      <c r="M54" s="96">
        <v>92</v>
      </c>
      <c r="N54" s="96">
        <v>67</v>
      </c>
      <c r="O54" s="96">
        <v>103</v>
      </c>
      <c r="P54" s="96">
        <v>714</v>
      </c>
      <c r="Q54" s="96"/>
      <c r="R54" s="96">
        <v>706</v>
      </c>
      <c r="S54" s="96">
        <v>89</v>
      </c>
      <c r="T54" s="96">
        <v>0</v>
      </c>
      <c r="U54" s="88">
        <v>6487</v>
      </c>
      <c r="V54" s="39"/>
      <c r="W54" s="39"/>
      <c r="X54" s="39"/>
    </row>
    <row r="55" spans="1:24" ht="12">
      <c r="A55" s="89" t="s">
        <v>70</v>
      </c>
      <c r="B55" s="96">
        <v>142</v>
      </c>
      <c r="C55" s="96"/>
      <c r="D55" s="96">
        <v>71</v>
      </c>
      <c r="E55" s="96">
        <v>51</v>
      </c>
      <c r="F55" s="96">
        <v>938</v>
      </c>
      <c r="G55" s="96">
        <v>128</v>
      </c>
      <c r="H55" s="96">
        <v>831</v>
      </c>
      <c r="I55" s="96">
        <v>1196</v>
      </c>
      <c r="J55" s="96">
        <v>855</v>
      </c>
      <c r="K55" s="96">
        <v>0</v>
      </c>
      <c r="L55" s="96">
        <v>149</v>
      </c>
      <c r="M55" s="96">
        <v>100</v>
      </c>
      <c r="N55" s="96">
        <v>64</v>
      </c>
      <c r="O55" s="96">
        <v>93</v>
      </c>
      <c r="P55" s="96">
        <v>575</v>
      </c>
      <c r="Q55" s="96"/>
      <c r="R55" s="96">
        <v>696</v>
      </c>
      <c r="S55" s="96">
        <v>102</v>
      </c>
      <c r="T55" s="96">
        <v>18</v>
      </c>
      <c r="U55" s="88">
        <v>6009</v>
      </c>
      <c r="V55" s="39"/>
      <c r="W55" s="39"/>
      <c r="X55" s="39"/>
    </row>
    <row r="56" spans="1:24" ht="12">
      <c r="A56" s="89" t="s">
        <v>71</v>
      </c>
      <c r="B56" s="96">
        <v>130</v>
      </c>
      <c r="C56" s="96"/>
      <c r="D56" s="96">
        <v>65</v>
      </c>
      <c r="E56" s="96">
        <v>52</v>
      </c>
      <c r="F56" s="96">
        <v>864</v>
      </c>
      <c r="G56" s="96">
        <v>150</v>
      </c>
      <c r="H56" s="96">
        <v>914</v>
      </c>
      <c r="I56" s="96">
        <v>1089</v>
      </c>
      <c r="J56" s="96">
        <v>681</v>
      </c>
      <c r="K56" s="96">
        <v>0</v>
      </c>
      <c r="L56" s="96">
        <v>154</v>
      </c>
      <c r="M56" s="96">
        <v>86</v>
      </c>
      <c r="N56" s="96">
        <v>113</v>
      </c>
      <c r="O56" s="96">
        <v>61</v>
      </c>
      <c r="P56" s="96">
        <v>525</v>
      </c>
      <c r="Q56" s="96"/>
      <c r="R56" s="96">
        <v>621</v>
      </c>
      <c r="S56" s="96">
        <v>66</v>
      </c>
      <c r="T56" s="96">
        <v>19</v>
      </c>
      <c r="U56" s="88">
        <v>5590</v>
      </c>
      <c r="V56" s="42"/>
      <c r="W56" s="42"/>
      <c r="X56" s="42"/>
    </row>
    <row r="57" spans="1:24" ht="12">
      <c r="A57" s="89" t="s">
        <v>72</v>
      </c>
      <c r="B57" s="96">
        <v>126</v>
      </c>
      <c r="C57" s="96"/>
      <c r="D57" s="96">
        <v>65</v>
      </c>
      <c r="E57" s="96">
        <v>0</v>
      </c>
      <c r="F57" s="96">
        <v>0</v>
      </c>
      <c r="G57" s="96">
        <v>76</v>
      </c>
      <c r="H57" s="96">
        <v>0</v>
      </c>
      <c r="I57" s="96">
        <v>941</v>
      </c>
      <c r="J57" s="96">
        <v>0</v>
      </c>
      <c r="K57" s="96">
        <v>0</v>
      </c>
      <c r="L57" s="96">
        <v>145</v>
      </c>
      <c r="M57" s="96">
        <v>88</v>
      </c>
      <c r="N57" s="96">
        <v>108</v>
      </c>
      <c r="O57" s="96">
        <v>0</v>
      </c>
      <c r="P57" s="96">
        <v>121</v>
      </c>
      <c r="Q57" s="96"/>
      <c r="R57" s="96">
        <v>0</v>
      </c>
      <c r="S57" s="96">
        <v>0</v>
      </c>
      <c r="T57" s="96">
        <v>0</v>
      </c>
      <c r="U57" s="88">
        <v>1670</v>
      </c>
      <c r="V57" s="42"/>
      <c r="W57" s="42"/>
      <c r="X57" s="42"/>
    </row>
    <row r="58" spans="1:24" ht="12">
      <c r="A58" s="89" t="s">
        <v>73</v>
      </c>
      <c r="B58" s="96">
        <v>0</v>
      </c>
      <c r="C58" s="96"/>
      <c r="D58" s="96">
        <v>0</v>
      </c>
      <c r="E58" s="96">
        <v>0</v>
      </c>
      <c r="F58" s="96">
        <v>0</v>
      </c>
      <c r="G58" s="96">
        <v>0</v>
      </c>
      <c r="H58" s="96">
        <v>0</v>
      </c>
      <c r="I58" s="96">
        <v>0</v>
      </c>
      <c r="J58" s="96">
        <v>0</v>
      </c>
      <c r="K58" s="96">
        <v>0</v>
      </c>
      <c r="L58" s="96">
        <v>185</v>
      </c>
      <c r="M58" s="96">
        <v>0</v>
      </c>
      <c r="N58" s="96">
        <v>0</v>
      </c>
      <c r="O58" s="96">
        <v>0</v>
      </c>
      <c r="P58" s="96">
        <v>0</v>
      </c>
      <c r="Q58" s="96"/>
      <c r="R58" s="96">
        <v>0</v>
      </c>
      <c r="S58" s="96">
        <v>0</v>
      </c>
      <c r="T58" s="96">
        <v>0</v>
      </c>
      <c r="U58" s="88">
        <v>185</v>
      </c>
      <c r="V58" s="43"/>
      <c r="W58" s="43"/>
      <c r="X58" s="43"/>
    </row>
    <row r="59" spans="1:24" ht="12">
      <c r="A59" s="90" t="s">
        <v>74</v>
      </c>
      <c r="B59" s="97">
        <v>853</v>
      </c>
      <c r="C59" s="97"/>
      <c r="D59" s="97">
        <v>308</v>
      </c>
      <c r="E59" s="97">
        <v>293</v>
      </c>
      <c r="F59" s="97">
        <v>3926</v>
      </c>
      <c r="G59" s="97">
        <v>634</v>
      </c>
      <c r="H59" s="97">
        <v>3430</v>
      </c>
      <c r="I59" s="97">
        <v>6258</v>
      </c>
      <c r="J59" s="97">
        <v>3645</v>
      </c>
      <c r="K59" s="97">
        <v>164</v>
      </c>
      <c r="L59" s="97">
        <v>953</v>
      </c>
      <c r="M59" s="97">
        <v>436</v>
      </c>
      <c r="N59" s="97">
        <v>424</v>
      </c>
      <c r="O59" s="97">
        <v>427</v>
      </c>
      <c r="P59" s="97">
        <v>2807</v>
      </c>
      <c r="Q59" s="97"/>
      <c r="R59" s="97">
        <v>2904</v>
      </c>
      <c r="S59" s="97">
        <v>363</v>
      </c>
      <c r="T59" s="97">
        <v>56</v>
      </c>
      <c r="U59" s="88">
        <v>27881</v>
      </c>
      <c r="V59" s="51">
        <v>27881</v>
      </c>
      <c r="W59" s="98">
        <v>0</v>
      </c>
      <c r="X59" s="99"/>
    </row>
    <row r="60" spans="1:24" ht="12">
      <c r="A60" s="87" t="s">
        <v>75</v>
      </c>
      <c r="B60" s="92">
        <v>609</v>
      </c>
      <c r="C60" s="92"/>
      <c r="D60" s="92">
        <v>102</v>
      </c>
      <c r="E60" s="92">
        <v>17</v>
      </c>
      <c r="F60" s="92">
        <v>3102</v>
      </c>
      <c r="G60" s="92">
        <v>223</v>
      </c>
      <c r="H60" s="92">
        <v>3276</v>
      </c>
      <c r="I60" s="92">
        <v>4659</v>
      </c>
      <c r="J60" s="92">
        <v>2263</v>
      </c>
      <c r="K60" s="92">
        <v>0</v>
      </c>
      <c r="L60" s="92">
        <v>664</v>
      </c>
      <c r="M60" s="92">
        <v>246</v>
      </c>
      <c r="N60" s="92">
        <v>135</v>
      </c>
      <c r="O60" s="92">
        <v>205</v>
      </c>
      <c r="P60" s="92">
        <v>1434</v>
      </c>
      <c r="Q60" s="92"/>
      <c r="R60" s="92">
        <v>1777</v>
      </c>
      <c r="S60" s="92">
        <v>226</v>
      </c>
      <c r="T60" s="92">
        <v>10</v>
      </c>
      <c r="U60" s="88">
        <v>18948</v>
      </c>
      <c r="V60" s="51"/>
      <c r="W60" s="79">
        <v>46829</v>
      </c>
      <c r="X60" s="100"/>
    </row>
    <row r="61" spans="1:24" ht="12">
      <c r="A61" s="93" t="s">
        <v>76</v>
      </c>
      <c r="B61" s="97">
        <v>1462</v>
      </c>
      <c r="C61" s="97"/>
      <c r="D61" s="97">
        <v>410</v>
      </c>
      <c r="E61" s="97">
        <v>310</v>
      </c>
      <c r="F61" s="97">
        <v>7028</v>
      </c>
      <c r="G61" s="97">
        <v>857</v>
      </c>
      <c r="H61" s="97">
        <v>6706</v>
      </c>
      <c r="I61" s="97">
        <v>10917</v>
      </c>
      <c r="J61" s="97">
        <v>5908</v>
      </c>
      <c r="K61" s="97">
        <v>164</v>
      </c>
      <c r="L61" s="97">
        <v>1617</v>
      </c>
      <c r="M61" s="97">
        <v>682</v>
      </c>
      <c r="N61" s="97">
        <v>559</v>
      </c>
      <c r="O61" s="97">
        <v>632</v>
      </c>
      <c r="P61" s="97">
        <v>4241</v>
      </c>
      <c r="Q61" s="97"/>
      <c r="R61" s="97">
        <v>4681</v>
      </c>
      <c r="S61" s="97">
        <v>589</v>
      </c>
      <c r="T61" s="97">
        <v>66</v>
      </c>
      <c r="U61" s="88">
        <v>46829</v>
      </c>
      <c r="V61" s="51">
        <v>46829</v>
      </c>
      <c r="W61" s="94">
        <v>0</v>
      </c>
      <c r="X61" s="94"/>
    </row>
    <row r="62" spans="1:24" ht="12">
      <c r="A62" s="101" t="s">
        <v>65</v>
      </c>
      <c r="B62" s="101"/>
      <c r="C62" s="87"/>
      <c r="D62" s="101"/>
      <c r="E62" s="87"/>
      <c r="F62" s="101"/>
      <c r="G62" s="101"/>
      <c r="H62" s="82"/>
      <c r="I62" s="101"/>
      <c r="J62" s="101"/>
      <c r="K62" s="87"/>
      <c r="L62" s="101"/>
      <c r="M62" s="101"/>
      <c r="N62" s="87"/>
      <c r="O62" s="101"/>
      <c r="P62" s="101"/>
      <c r="Q62" s="87"/>
      <c r="R62" s="82"/>
      <c r="S62" s="101"/>
      <c r="T62" s="101"/>
      <c r="U62" s="102"/>
      <c r="V62" s="56"/>
      <c r="W62" s="56"/>
      <c r="X62" s="56"/>
    </row>
    <row r="63" spans="1:24" ht="12">
      <c r="A63" s="89" t="s">
        <v>68</v>
      </c>
      <c r="B63" s="39">
        <v>199</v>
      </c>
      <c r="C63" s="87"/>
      <c r="D63" s="87">
        <v>32</v>
      </c>
      <c r="E63" s="87">
        <v>321</v>
      </c>
      <c r="F63" s="39">
        <v>1024</v>
      </c>
      <c r="G63" s="39">
        <v>364</v>
      </c>
      <c r="H63" s="39">
        <v>1203</v>
      </c>
      <c r="I63" s="39">
        <v>338</v>
      </c>
      <c r="J63" s="39">
        <v>1574</v>
      </c>
      <c r="K63" s="87">
        <v>581</v>
      </c>
      <c r="L63" s="39">
        <v>237</v>
      </c>
      <c r="M63" s="39">
        <v>116</v>
      </c>
      <c r="N63" s="87">
        <v>246</v>
      </c>
      <c r="O63" s="39">
        <v>990</v>
      </c>
      <c r="P63" s="39">
        <v>640</v>
      </c>
      <c r="Q63" s="87"/>
      <c r="R63" s="39">
        <v>1048</v>
      </c>
      <c r="S63" s="39">
        <v>104</v>
      </c>
      <c r="T63" s="39">
        <v>158</v>
      </c>
      <c r="U63" s="88">
        <v>9175</v>
      </c>
      <c r="V63" s="39"/>
      <c r="W63" s="39"/>
      <c r="X63" s="39"/>
    </row>
    <row r="64" spans="1:24" ht="12">
      <c r="A64" s="89" t="s">
        <v>69</v>
      </c>
      <c r="B64" s="39">
        <v>104</v>
      </c>
      <c r="C64" s="87"/>
      <c r="D64" s="87">
        <v>30</v>
      </c>
      <c r="E64" s="87">
        <v>285</v>
      </c>
      <c r="F64" s="39">
        <v>844</v>
      </c>
      <c r="G64" s="39">
        <v>285</v>
      </c>
      <c r="H64" s="39">
        <v>979</v>
      </c>
      <c r="I64" s="39">
        <v>335</v>
      </c>
      <c r="J64" s="39">
        <v>1363</v>
      </c>
      <c r="K64" s="87">
        <v>438</v>
      </c>
      <c r="L64" s="39">
        <v>208</v>
      </c>
      <c r="M64" s="39">
        <v>132</v>
      </c>
      <c r="N64" s="87">
        <v>273</v>
      </c>
      <c r="O64" s="39">
        <v>706</v>
      </c>
      <c r="P64" s="39">
        <v>594</v>
      </c>
      <c r="Q64" s="87"/>
      <c r="R64" s="39">
        <v>707</v>
      </c>
      <c r="S64" s="39">
        <v>66</v>
      </c>
      <c r="T64" s="39"/>
      <c r="U64" s="88">
        <v>7349</v>
      </c>
      <c r="V64" s="39"/>
      <c r="W64" s="39"/>
      <c r="X64" s="39"/>
    </row>
    <row r="65" spans="1:24" ht="12">
      <c r="A65" s="89" t="s">
        <v>70</v>
      </c>
      <c r="B65" s="39">
        <v>65</v>
      </c>
      <c r="C65" s="87"/>
      <c r="D65" s="87">
        <v>28</v>
      </c>
      <c r="E65" s="87">
        <v>213</v>
      </c>
      <c r="F65" s="39">
        <v>809</v>
      </c>
      <c r="G65" s="39">
        <v>290</v>
      </c>
      <c r="H65" s="39">
        <v>1006</v>
      </c>
      <c r="I65" s="39">
        <v>241</v>
      </c>
      <c r="J65" s="39">
        <v>1462</v>
      </c>
      <c r="K65" s="87"/>
      <c r="L65" s="39">
        <v>203</v>
      </c>
      <c r="M65" s="39">
        <v>151</v>
      </c>
      <c r="N65" s="87">
        <v>266</v>
      </c>
      <c r="O65" s="39">
        <v>680</v>
      </c>
      <c r="P65" s="39">
        <v>533</v>
      </c>
      <c r="Q65" s="87"/>
      <c r="R65" s="39">
        <v>753</v>
      </c>
      <c r="S65" s="39">
        <v>101</v>
      </c>
      <c r="T65" s="39">
        <v>116</v>
      </c>
      <c r="U65" s="88">
        <v>6917</v>
      </c>
      <c r="V65" s="39"/>
      <c r="W65" s="39"/>
      <c r="X65" s="39"/>
    </row>
    <row r="66" spans="1:24" ht="12">
      <c r="A66" s="89" t="s">
        <v>71</v>
      </c>
      <c r="B66" s="39">
        <v>77</v>
      </c>
      <c r="C66" s="87"/>
      <c r="D66" s="87">
        <v>36</v>
      </c>
      <c r="E66" s="87">
        <v>160</v>
      </c>
      <c r="F66" s="39">
        <v>748</v>
      </c>
      <c r="G66" s="39">
        <v>271</v>
      </c>
      <c r="H66" s="39">
        <v>1224</v>
      </c>
      <c r="I66" s="39">
        <v>186</v>
      </c>
      <c r="J66" s="39">
        <v>1450</v>
      </c>
      <c r="K66" s="87"/>
      <c r="L66" s="39">
        <v>209</v>
      </c>
      <c r="M66" s="39">
        <v>135</v>
      </c>
      <c r="N66" s="87">
        <v>492</v>
      </c>
      <c r="O66" s="39">
        <v>496</v>
      </c>
      <c r="P66" s="39">
        <v>460</v>
      </c>
      <c r="Q66" s="87"/>
      <c r="R66" s="39">
        <v>701</v>
      </c>
      <c r="S66" s="39">
        <v>108</v>
      </c>
      <c r="T66" s="39">
        <v>137</v>
      </c>
      <c r="U66" s="88">
        <v>6890</v>
      </c>
      <c r="V66" s="39"/>
      <c r="W66" s="39"/>
      <c r="X66" s="39"/>
    </row>
    <row r="67" spans="1:24" ht="12">
      <c r="A67" s="89" t="s">
        <v>72</v>
      </c>
      <c r="B67" s="39">
        <v>37</v>
      </c>
      <c r="C67" s="87"/>
      <c r="D67" s="87">
        <v>49</v>
      </c>
      <c r="E67" s="87"/>
      <c r="F67" s="39"/>
      <c r="G67" s="39">
        <v>233</v>
      </c>
      <c r="H67" s="39"/>
      <c r="I67" s="39">
        <v>176</v>
      </c>
      <c r="J67" s="87"/>
      <c r="K67" s="87"/>
      <c r="L67" s="39">
        <v>180</v>
      </c>
      <c r="M67" s="39">
        <v>117</v>
      </c>
      <c r="N67" s="87">
        <v>484</v>
      </c>
      <c r="O67" s="39"/>
      <c r="P67" s="39">
        <v>173</v>
      </c>
      <c r="Q67" s="87"/>
      <c r="R67" s="39"/>
      <c r="S67" s="39"/>
      <c r="T67" s="39"/>
      <c r="U67" s="88">
        <v>1449</v>
      </c>
      <c r="V67" s="39"/>
      <c r="W67" s="39"/>
      <c r="X67" s="39"/>
    </row>
    <row r="68" spans="1:24" ht="12">
      <c r="A68" s="89" t="s">
        <v>73</v>
      </c>
      <c r="B68" s="39"/>
      <c r="C68" s="87"/>
      <c r="D68" s="39"/>
      <c r="E68" s="87"/>
      <c r="F68" s="39"/>
      <c r="G68" s="39"/>
      <c r="H68" s="39"/>
      <c r="I68" s="39"/>
      <c r="J68" s="39"/>
      <c r="K68" s="87"/>
      <c r="L68" s="39">
        <v>175</v>
      </c>
      <c r="M68" s="39"/>
      <c r="N68" s="87"/>
      <c r="O68" s="39"/>
      <c r="P68" s="39"/>
      <c r="Q68" s="87"/>
      <c r="R68" s="39"/>
      <c r="S68" s="39"/>
      <c r="T68" s="39"/>
      <c r="U68" s="88">
        <v>175</v>
      </c>
      <c r="V68" s="39"/>
      <c r="W68" s="39"/>
      <c r="X68" s="39"/>
    </row>
    <row r="69" spans="1:24" ht="12">
      <c r="A69" s="90" t="s">
        <v>74</v>
      </c>
      <c r="B69" s="51">
        <v>482</v>
      </c>
      <c r="C69" s="51"/>
      <c r="D69" s="51">
        <v>175</v>
      </c>
      <c r="E69" s="51">
        <v>979</v>
      </c>
      <c r="F69" s="51">
        <v>3425</v>
      </c>
      <c r="G69" s="51">
        <v>1443</v>
      </c>
      <c r="H69" s="51">
        <v>4412</v>
      </c>
      <c r="I69" s="51">
        <v>1276</v>
      </c>
      <c r="J69" s="51">
        <v>5849</v>
      </c>
      <c r="K69" s="51">
        <v>1019</v>
      </c>
      <c r="L69" s="51">
        <v>1212</v>
      </c>
      <c r="M69" s="51">
        <v>651</v>
      </c>
      <c r="N69" s="51">
        <v>1761</v>
      </c>
      <c r="O69" s="51">
        <v>2872</v>
      </c>
      <c r="P69" s="51">
        <v>2400</v>
      </c>
      <c r="Q69" s="51"/>
      <c r="R69" s="51">
        <v>3209</v>
      </c>
      <c r="S69" s="51">
        <v>379</v>
      </c>
      <c r="T69" s="51">
        <v>411</v>
      </c>
      <c r="U69" s="88">
        <v>31955</v>
      </c>
      <c r="V69" s="51">
        <v>31955</v>
      </c>
      <c r="W69" s="51"/>
      <c r="X69" s="51"/>
    </row>
    <row r="70" spans="1:24" ht="12">
      <c r="A70" s="87" t="s">
        <v>75</v>
      </c>
      <c r="B70" s="39">
        <v>151</v>
      </c>
      <c r="C70" s="87"/>
      <c r="D70" s="39">
        <v>67</v>
      </c>
      <c r="E70" s="87">
        <v>86</v>
      </c>
      <c r="F70" s="39">
        <v>2242</v>
      </c>
      <c r="G70" s="39">
        <v>482</v>
      </c>
      <c r="H70" s="39">
        <v>4113</v>
      </c>
      <c r="I70" s="39">
        <v>616</v>
      </c>
      <c r="J70" s="39">
        <v>4639</v>
      </c>
      <c r="K70" s="87">
        <v>1</v>
      </c>
      <c r="L70" s="39">
        <v>558</v>
      </c>
      <c r="M70" s="39">
        <v>313</v>
      </c>
      <c r="N70" s="87">
        <v>417</v>
      </c>
      <c r="O70" s="39">
        <v>1763</v>
      </c>
      <c r="P70" s="87">
        <v>1093</v>
      </c>
      <c r="Q70" s="87"/>
      <c r="R70" s="39">
        <v>2009</v>
      </c>
      <c r="S70" s="39">
        <v>232</v>
      </c>
      <c r="T70" s="39">
        <v>237</v>
      </c>
      <c r="U70" s="88">
        <v>19019</v>
      </c>
      <c r="V70" s="51">
        <v>19019</v>
      </c>
      <c r="W70" s="39"/>
      <c r="X70" s="39"/>
    </row>
    <row r="71" spans="1:24" ht="12">
      <c r="A71" s="103" t="s">
        <v>76</v>
      </c>
      <c r="B71" s="103">
        <v>633</v>
      </c>
      <c r="C71" s="103"/>
      <c r="D71" s="103">
        <v>242</v>
      </c>
      <c r="E71" s="103">
        <v>1065</v>
      </c>
      <c r="F71" s="103">
        <v>5667</v>
      </c>
      <c r="G71" s="103">
        <v>1925</v>
      </c>
      <c r="H71" s="103">
        <v>8525</v>
      </c>
      <c r="I71" s="103">
        <v>1892</v>
      </c>
      <c r="J71" s="103">
        <v>10488</v>
      </c>
      <c r="K71" s="103">
        <v>1020</v>
      </c>
      <c r="L71" s="103">
        <v>1770</v>
      </c>
      <c r="M71" s="103">
        <v>964</v>
      </c>
      <c r="N71" s="103">
        <v>2178</v>
      </c>
      <c r="O71" s="103">
        <v>4635</v>
      </c>
      <c r="P71" s="103">
        <v>3493</v>
      </c>
      <c r="Q71" s="103"/>
      <c r="R71" s="103">
        <v>5218</v>
      </c>
      <c r="S71" s="103">
        <v>611</v>
      </c>
      <c r="T71" s="103">
        <v>648</v>
      </c>
      <c r="U71" s="103">
        <v>50974</v>
      </c>
      <c r="V71" s="51">
        <v>50974</v>
      </c>
      <c r="W71" s="103"/>
      <c r="X71" s="103"/>
    </row>
    <row r="72" spans="1:24" ht="12">
      <c r="A72" s="26"/>
      <c r="B72" s="39">
        <v>0</v>
      </c>
      <c r="C72" s="39"/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/>
      <c r="R72" s="39">
        <v>0</v>
      </c>
      <c r="S72" s="39">
        <v>0</v>
      </c>
      <c r="T72" s="39">
        <v>0</v>
      </c>
      <c r="U72" s="39">
        <v>0</v>
      </c>
      <c r="V72" s="26"/>
      <c r="W72" s="26"/>
      <c r="X72" s="26"/>
    </row>
    <row r="73" spans="1:24" ht="12">
      <c r="A73" s="26"/>
      <c r="B73" s="39">
        <v>0</v>
      </c>
      <c r="C73" s="39"/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/>
      <c r="R73" s="39">
        <v>0</v>
      </c>
      <c r="S73" s="39">
        <v>0</v>
      </c>
      <c r="T73" s="39">
        <v>0</v>
      </c>
      <c r="U73" s="39">
        <v>0</v>
      </c>
      <c r="V73" s="26"/>
      <c r="W73" s="26"/>
      <c r="X73" s="26"/>
    </row>
    <row r="74" spans="1:24" ht="12">
      <c r="A74" s="26"/>
      <c r="B74" s="26"/>
      <c r="C74" s="26"/>
      <c r="D74" s="26"/>
      <c r="E74" s="26"/>
      <c r="F74" s="26"/>
      <c r="G74" s="26"/>
      <c r="H74" s="39">
        <v>0</v>
      </c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</row>
    <row r="75" spans="1:24" ht="12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</row>
    <row r="76" spans="1:24" ht="12">
      <c r="A76" s="26"/>
      <c r="B76" s="26"/>
      <c r="C76" s="26"/>
      <c r="D76" s="26"/>
      <c r="E76" s="26"/>
      <c r="F76" s="26"/>
      <c r="G76" s="26"/>
      <c r="H76" s="39">
        <v>0</v>
      </c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</row>
    <row r="77" spans="1:24" ht="12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</row>
    <row r="78" spans="1:24" ht="12">
      <c r="A78" s="81"/>
      <c r="B78" s="81"/>
      <c r="C78" s="83"/>
      <c r="D78" s="81"/>
      <c r="E78" s="83"/>
      <c r="F78" s="81"/>
      <c r="G78" s="81"/>
      <c r="H78" s="82"/>
      <c r="I78" s="81"/>
      <c r="J78" s="83"/>
      <c r="K78" s="83"/>
      <c r="L78" s="83"/>
      <c r="M78" s="83"/>
      <c r="N78" s="83"/>
      <c r="O78" s="81"/>
      <c r="P78" s="83"/>
      <c r="Q78" s="83"/>
      <c r="R78" s="82"/>
      <c r="S78" s="81"/>
      <c r="T78" s="81"/>
      <c r="U78" s="81"/>
      <c r="V78" s="21"/>
      <c r="W78" s="21"/>
      <c r="X78" s="21"/>
    </row>
    <row r="79" spans="1:24" ht="12">
      <c r="A79" s="84"/>
      <c r="B79" s="85"/>
      <c r="C79" s="87"/>
      <c r="D79" s="87"/>
      <c r="E79" s="87"/>
      <c r="F79" s="85"/>
      <c r="G79" s="85"/>
      <c r="H79" s="84"/>
      <c r="I79" s="85"/>
      <c r="J79" s="86"/>
      <c r="K79" s="87"/>
      <c r="L79" s="86"/>
      <c r="M79" s="86"/>
      <c r="N79" s="87"/>
      <c r="O79" s="85"/>
      <c r="P79" s="86"/>
      <c r="Q79" s="87"/>
      <c r="R79" s="85"/>
      <c r="S79" s="85"/>
      <c r="T79" s="85"/>
      <c r="U79" s="88"/>
      <c r="V79" s="2"/>
      <c r="W79" s="2"/>
      <c r="X79" s="2"/>
    </row>
    <row r="80" spans="1:24" ht="12">
      <c r="A80" s="89"/>
      <c r="B80" s="39"/>
      <c r="C80" s="87"/>
      <c r="D80" s="87"/>
      <c r="E80" s="87"/>
      <c r="F80" s="39"/>
      <c r="G80" s="39"/>
      <c r="H80" s="89"/>
      <c r="I80" s="39"/>
      <c r="J80" s="39"/>
      <c r="K80" s="87"/>
      <c r="L80" s="39"/>
      <c r="M80" s="39"/>
      <c r="N80" s="87"/>
      <c r="O80" s="39"/>
      <c r="P80" s="39"/>
      <c r="Q80" s="87"/>
      <c r="R80" s="39"/>
      <c r="S80" s="39"/>
      <c r="T80" s="39"/>
      <c r="U80" s="88"/>
      <c r="V80" s="39"/>
      <c r="W80" s="39"/>
      <c r="X80" s="39"/>
    </row>
    <row r="81" spans="1:24" ht="12">
      <c r="A81" s="89"/>
      <c r="B81" s="39"/>
      <c r="C81" s="87"/>
      <c r="D81" s="87"/>
      <c r="E81" s="87"/>
      <c r="F81" s="39"/>
      <c r="G81" s="39"/>
      <c r="H81" s="89"/>
      <c r="I81" s="39"/>
      <c r="J81" s="39"/>
      <c r="K81" s="87"/>
      <c r="L81" s="39"/>
      <c r="M81" s="39"/>
      <c r="N81" s="87"/>
      <c r="O81" s="39"/>
      <c r="P81" s="39"/>
      <c r="Q81" s="87"/>
      <c r="R81" s="39"/>
      <c r="S81" s="39"/>
      <c r="T81" s="39"/>
      <c r="U81" s="88"/>
      <c r="V81" s="39"/>
      <c r="W81" s="39"/>
      <c r="X81" s="39"/>
    </row>
    <row r="82" spans="1:24" ht="12">
      <c r="A82" s="89"/>
      <c r="B82" s="39"/>
      <c r="C82" s="87"/>
      <c r="D82" s="87"/>
      <c r="E82" s="87"/>
      <c r="F82" s="39"/>
      <c r="G82" s="39"/>
      <c r="H82" s="89"/>
      <c r="I82" s="39"/>
      <c r="J82" s="39"/>
      <c r="K82" s="87"/>
      <c r="L82" s="39"/>
      <c r="M82" s="39"/>
      <c r="N82" s="87"/>
      <c r="O82" s="39"/>
      <c r="P82" s="39"/>
      <c r="Q82" s="87"/>
      <c r="R82" s="39"/>
      <c r="S82" s="39"/>
      <c r="T82" s="39"/>
      <c r="U82" s="88"/>
      <c r="V82" s="39"/>
      <c r="W82" s="39"/>
      <c r="X82" s="39"/>
    </row>
    <row r="83" spans="1:24" ht="12">
      <c r="A83" s="89"/>
      <c r="B83" s="39"/>
      <c r="C83" s="87"/>
      <c r="D83" s="87"/>
      <c r="E83" s="87"/>
      <c r="F83" s="39"/>
      <c r="G83" s="39"/>
      <c r="H83" s="89"/>
      <c r="I83" s="39"/>
      <c r="J83" s="39"/>
      <c r="K83" s="87"/>
      <c r="L83" s="39"/>
      <c r="M83" s="39"/>
      <c r="N83" s="87"/>
      <c r="O83" s="39"/>
      <c r="P83" s="39"/>
      <c r="Q83" s="87"/>
      <c r="R83" s="39"/>
      <c r="S83" s="39"/>
      <c r="T83" s="39"/>
      <c r="U83" s="88"/>
      <c r="V83" s="39"/>
      <c r="W83" s="39"/>
      <c r="X83" s="39"/>
    </row>
    <row r="84" spans="1:24" ht="12">
      <c r="A84" s="89"/>
      <c r="B84" s="39"/>
      <c r="C84" s="87"/>
      <c r="D84" s="39"/>
      <c r="E84" s="87"/>
      <c r="F84" s="39"/>
      <c r="G84" s="39"/>
      <c r="H84" s="89"/>
      <c r="I84" s="39"/>
      <c r="J84" s="39"/>
      <c r="K84" s="87"/>
      <c r="L84" s="39"/>
      <c r="M84" s="39"/>
      <c r="N84" s="87"/>
      <c r="O84" s="39"/>
      <c r="P84" s="39"/>
      <c r="Q84" s="87"/>
      <c r="R84" s="39"/>
      <c r="S84" s="39"/>
      <c r="T84" s="39"/>
      <c r="U84" s="88"/>
      <c r="V84" s="39"/>
      <c r="W84" s="39"/>
      <c r="X84" s="39"/>
    </row>
    <row r="85" spans="1:24" ht="12">
      <c r="A85" s="44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50"/>
      <c r="V85" s="51"/>
      <c r="W85" s="45"/>
      <c r="X85" s="45"/>
    </row>
    <row r="86" spans="1:24" ht="12">
      <c r="A86" s="28"/>
      <c r="B86" s="104"/>
      <c r="C86" s="30"/>
      <c r="D86" s="104"/>
      <c r="E86" s="30"/>
      <c r="F86" s="104"/>
      <c r="G86" s="104"/>
      <c r="H86" s="104"/>
      <c r="I86" s="104"/>
      <c r="J86" s="104"/>
      <c r="K86" s="30"/>
      <c r="L86" s="104"/>
      <c r="M86" s="104"/>
      <c r="N86" s="30"/>
      <c r="O86" s="104"/>
      <c r="P86" s="41"/>
      <c r="Q86" s="30"/>
      <c r="R86" s="104"/>
      <c r="S86" s="104"/>
      <c r="T86" s="104"/>
      <c r="U86" s="38"/>
      <c r="V86" s="39"/>
      <c r="W86" s="41"/>
      <c r="X86" s="41"/>
    </row>
    <row r="87" spans="1:24" ht="12">
      <c r="A87" s="48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50"/>
      <c r="V87" s="94"/>
      <c r="W87" s="65"/>
      <c r="X87" s="65"/>
    </row>
    <row r="88" spans="1:24" ht="12">
      <c r="A88" s="54"/>
      <c r="B88" s="54"/>
      <c r="C88" s="30"/>
      <c r="D88" s="54"/>
      <c r="E88" s="30"/>
      <c r="F88" s="54"/>
      <c r="G88" s="54"/>
      <c r="H88" s="55"/>
      <c r="I88" s="54"/>
      <c r="J88" s="54"/>
      <c r="K88" s="30"/>
      <c r="L88" s="54"/>
      <c r="M88" s="54"/>
      <c r="N88" s="30"/>
      <c r="O88" s="54"/>
      <c r="P88" s="54"/>
      <c r="Q88" s="30"/>
      <c r="R88" s="55"/>
      <c r="S88" s="54"/>
      <c r="T88" s="54"/>
      <c r="U88" s="54"/>
      <c r="V88" s="56"/>
      <c r="W88" s="57"/>
      <c r="X88" s="57"/>
    </row>
    <row r="89" spans="1:24" ht="12">
      <c r="A89" s="35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0"/>
      <c r="V89" s="39"/>
      <c r="W89" s="41"/>
      <c r="X89" s="41"/>
    </row>
    <row r="90" spans="1:24" ht="12">
      <c r="A90" s="40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0"/>
      <c r="V90" s="39"/>
      <c r="W90" s="41"/>
      <c r="X90" s="41"/>
    </row>
    <row r="91" spans="1:24" ht="12">
      <c r="A91" s="40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0"/>
      <c r="V91" s="39"/>
      <c r="W91" s="41"/>
      <c r="X91" s="41"/>
    </row>
    <row r="92" spans="1:24" ht="12">
      <c r="A92" s="40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0"/>
      <c r="V92" s="42"/>
      <c r="W92" s="59"/>
      <c r="X92" s="59"/>
    </row>
    <row r="93" spans="1:24" ht="12">
      <c r="A93" s="40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0"/>
      <c r="V93" s="42"/>
      <c r="W93" s="59"/>
      <c r="X93" s="59"/>
    </row>
    <row r="94" spans="1:24" ht="12">
      <c r="A94" s="40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0"/>
      <c r="V94" s="43"/>
      <c r="W94" s="61"/>
      <c r="X94" s="61"/>
    </row>
    <row r="95" spans="1:24" ht="12">
      <c r="A95" s="44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50"/>
      <c r="V95" s="99"/>
      <c r="W95" s="63"/>
      <c r="X95" s="63"/>
    </row>
    <row r="96" spans="1:24" ht="12">
      <c r="A96" s="28"/>
      <c r="B96" s="38"/>
      <c r="C96" s="58"/>
      <c r="D96" s="38"/>
      <c r="E96" s="58"/>
      <c r="F96" s="38"/>
      <c r="G96" s="38"/>
      <c r="H96" s="38"/>
      <c r="I96" s="38"/>
      <c r="J96" s="38"/>
      <c r="K96" s="58"/>
      <c r="L96" s="38"/>
      <c r="M96" s="38"/>
      <c r="N96" s="58"/>
      <c r="O96" s="38"/>
      <c r="P96" s="38"/>
      <c r="Q96" s="58"/>
      <c r="R96" s="38"/>
      <c r="S96" s="38"/>
      <c r="T96" s="38"/>
      <c r="U96" s="50"/>
      <c r="V96" s="100"/>
      <c r="W96" s="64"/>
      <c r="X96" s="64"/>
    </row>
    <row r="97" spans="1:24" ht="12">
      <c r="A97" s="48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94"/>
      <c r="W97" s="65"/>
      <c r="X97" s="65"/>
    </row>
    <row r="98" spans="1:24" ht="12">
      <c r="A98" s="66"/>
      <c r="B98" s="66"/>
      <c r="C98" s="30"/>
      <c r="D98" s="66"/>
      <c r="E98" s="30"/>
      <c r="F98" s="66"/>
      <c r="G98" s="66"/>
      <c r="H98" s="55"/>
      <c r="I98" s="66"/>
      <c r="J98" s="66"/>
      <c r="K98" s="30"/>
      <c r="L98" s="66"/>
      <c r="M98" s="66"/>
      <c r="N98" s="30"/>
      <c r="O98" s="66"/>
      <c r="P98" s="66"/>
      <c r="Q98" s="30"/>
      <c r="R98" s="55"/>
      <c r="S98" s="66"/>
      <c r="T98" s="66"/>
      <c r="U98" s="67"/>
      <c r="V98" s="56"/>
      <c r="W98" s="57"/>
      <c r="X98" s="57"/>
    </row>
    <row r="99" spans="1:24" ht="12">
      <c r="A99" s="40"/>
      <c r="B99" s="41"/>
      <c r="C99" s="30"/>
      <c r="D99" s="30"/>
      <c r="E99" s="30"/>
      <c r="F99" s="41"/>
      <c r="G99" s="41"/>
      <c r="H99" s="41"/>
      <c r="I99" s="41"/>
      <c r="J99" s="41"/>
      <c r="K99" s="30"/>
      <c r="L99" s="41"/>
      <c r="M99" s="41"/>
      <c r="N99" s="30"/>
      <c r="O99" s="41"/>
      <c r="P99" s="41"/>
      <c r="Q99" s="30"/>
      <c r="R99" s="41"/>
      <c r="S99" s="41"/>
      <c r="T99" s="41"/>
      <c r="U99" s="50"/>
      <c r="V99" s="39"/>
      <c r="W99" s="41"/>
      <c r="X99" s="41"/>
    </row>
    <row r="100" spans="1:24" ht="12">
      <c r="A100" s="40"/>
      <c r="B100" s="41"/>
      <c r="C100" s="30"/>
      <c r="D100" s="30"/>
      <c r="E100" s="30"/>
      <c r="F100" s="41"/>
      <c r="G100" s="41"/>
      <c r="H100" s="41"/>
      <c r="I100" s="41"/>
      <c r="J100" s="41"/>
      <c r="K100" s="30"/>
      <c r="L100" s="41"/>
      <c r="M100" s="41"/>
      <c r="N100" s="30"/>
      <c r="O100" s="41"/>
      <c r="P100" s="41"/>
      <c r="Q100" s="30"/>
      <c r="R100" s="41"/>
      <c r="S100" s="41"/>
      <c r="T100" s="41"/>
      <c r="U100" s="50"/>
      <c r="V100" s="39"/>
      <c r="W100" s="41"/>
      <c r="X100" s="41"/>
    </row>
    <row r="101" spans="1:24" ht="12">
      <c r="A101" s="40"/>
      <c r="B101" s="41"/>
      <c r="C101" s="30"/>
      <c r="D101" s="30"/>
      <c r="E101" s="30"/>
      <c r="F101" s="41"/>
      <c r="G101" s="41"/>
      <c r="H101" s="41"/>
      <c r="I101" s="41"/>
      <c r="J101" s="41"/>
      <c r="K101" s="30"/>
      <c r="L101" s="41"/>
      <c r="M101" s="41"/>
      <c r="N101" s="30"/>
      <c r="O101" s="41"/>
      <c r="P101" s="41"/>
      <c r="Q101" s="30"/>
      <c r="R101" s="41"/>
      <c r="S101" s="41"/>
      <c r="T101" s="41"/>
      <c r="U101" s="50"/>
      <c r="V101" s="39"/>
      <c r="W101" s="41"/>
      <c r="X101" s="41"/>
    </row>
    <row r="102" spans="1:24" ht="12">
      <c r="A102" s="40"/>
      <c r="B102" s="41"/>
      <c r="C102" s="30"/>
      <c r="D102" s="30"/>
      <c r="E102" s="30"/>
      <c r="F102" s="41"/>
      <c r="G102" s="41"/>
      <c r="H102" s="41"/>
      <c r="I102" s="41"/>
      <c r="J102" s="41"/>
      <c r="K102" s="30"/>
      <c r="L102" s="41"/>
      <c r="M102" s="41"/>
      <c r="N102" s="30"/>
      <c r="O102" s="41"/>
      <c r="P102" s="41"/>
      <c r="Q102" s="30"/>
      <c r="R102" s="41"/>
      <c r="S102" s="41"/>
      <c r="T102" s="41"/>
      <c r="U102" s="50"/>
      <c r="V102" s="39"/>
      <c r="W102" s="41"/>
      <c r="X102" s="41"/>
    </row>
    <row r="103" spans="1:24" ht="12">
      <c r="A103" s="40"/>
      <c r="B103" s="41"/>
      <c r="C103" s="30"/>
      <c r="D103" s="30"/>
      <c r="E103" s="30"/>
      <c r="F103" s="41"/>
      <c r="G103" s="41"/>
      <c r="H103" s="41"/>
      <c r="I103" s="41"/>
      <c r="J103" s="30"/>
      <c r="K103" s="30"/>
      <c r="L103" s="41"/>
      <c r="M103" s="41"/>
      <c r="N103" s="30"/>
      <c r="O103" s="41"/>
      <c r="P103" s="41"/>
      <c r="Q103" s="30"/>
      <c r="R103" s="41"/>
      <c r="S103" s="41"/>
      <c r="T103" s="41"/>
      <c r="U103" s="50"/>
      <c r="V103" s="39"/>
      <c r="W103" s="41"/>
      <c r="X103" s="41"/>
    </row>
    <row r="104" spans="1:24" ht="12">
      <c r="A104" s="40"/>
      <c r="B104" s="41"/>
      <c r="C104" s="30"/>
      <c r="D104" s="41"/>
      <c r="E104" s="30"/>
      <c r="F104" s="41"/>
      <c r="G104" s="41"/>
      <c r="H104" s="41"/>
      <c r="I104" s="41"/>
      <c r="J104" s="41"/>
      <c r="K104" s="30"/>
      <c r="L104" s="41"/>
      <c r="M104" s="41"/>
      <c r="N104" s="30"/>
      <c r="O104" s="41"/>
      <c r="P104" s="41"/>
      <c r="Q104" s="30"/>
      <c r="R104" s="41"/>
      <c r="S104" s="41"/>
      <c r="T104" s="41"/>
      <c r="U104" s="50"/>
      <c r="V104" s="39"/>
      <c r="W104" s="41"/>
      <c r="X104" s="41"/>
    </row>
    <row r="105" spans="1:24" ht="12">
      <c r="A105" s="44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50"/>
      <c r="V105" s="51"/>
      <c r="W105" s="45"/>
      <c r="X105" s="45"/>
    </row>
    <row r="106" spans="1:24" ht="12">
      <c r="A106" s="28"/>
      <c r="B106" s="41"/>
      <c r="C106" s="30"/>
      <c r="D106" s="41"/>
      <c r="E106" s="30"/>
      <c r="F106" s="41"/>
      <c r="G106" s="41"/>
      <c r="H106" s="41"/>
      <c r="I106" s="41"/>
      <c r="J106" s="41"/>
      <c r="K106" s="30"/>
      <c r="L106" s="41"/>
      <c r="M106" s="41"/>
      <c r="N106" s="30"/>
      <c r="O106" s="41"/>
      <c r="P106" s="30"/>
      <c r="Q106" s="30"/>
      <c r="R106" s="41"/>
      <c r="S106" s="41"/>
      <c r="T106" s="41"/>
      <c r="U106" s="50"/>
      <c r="V106" s="39"/>
      <c r="W106" s="41"/>
      <c r="X106" s="41"/>
    </row>
    <row r="107" spans="1:24" ht="12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103"/>
      <c r="W107" s="71"/>
      <c r="X107" s="71"/>
    </row>
    <row r="108" spans="1:24" ht="12">
      <c r="A108" s="106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8"/>
      <c r="V108" s="51"/>
      <c r="W108" s="45"/>
      <c r="X108" s="45"/>
    </row>
  </sheetData>
  <sheetProtection/>
  <mergeCells count="1">
    <mergeCell ref="A1:N1"/>
  </mergeCells>
  <printOptions/>
  <pageMargins left="0.5511811023622047" right="0.2362204724409449" top="0.5511811023622047" bottom="0.1968503937007874" header="0.5118110236220472" footer="0.2362204724409449"/>
  <pageSetup fitToHeight="1" fitToWidth="1" orientation="portrait" paperSize="9" scale="74" r:id="rId1"/>
  <headerFooter alignWithMargins="0">
    <oddHeader>&amp;R&amp;F</oddHeader>
    <oddFooter>&amp;LComune di Bologna - Dipartimento Programmazione - Settore Statistica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8"/>
  <sheetViews>
    <sheetView showZeros="0" zoomScalePageLayoutView="0" workbookViewId="0" topLeftCell="A1">
      <selection activeCell="T1" sqref="T1:T16384"/>
    </sheetView>
  </sheetViews>
  <sheetFormatPr defaultColWidth="10.875" defaultRowHeight="12"/>
  <cols>
    <col min="1" max="1" width="30.875" style="27" customWidth="1"/>
    <col min="2" max="2" width="6.00390625" style="27" customWidth="1"/>
    <col min="3" max="3" width="6.125" style="27" customWidth="1"/>
    <col min="4" max="4" width="7.625" style="27" customWidth="1"/>
    <col min="5" max="5" width="7.375" style="27" customWidth="1"/>
    <col min="6" max="10" width="7.625" style="27" customWidth="1"/>
    <col min="11" max="11" width="9.75390625" style="27" customWidth="1"/>
    <col min="12" max="15" width="7.625" style="27" customWidth="1"/>
    <col min="16" max="16" width="9.875" style="27" customWidth="1"/>
    <col min="17" max="19" width="7.625" style="27" customWidth="1"/>
    <col min="20" max="20" width="9.00390625" style="27" customWidth="1"/>
    <col min="21" max="21" width="7.125" style="27" customWidth="1"/>
    <col min="22" max="23" width="9.875" style="27" customWidth="1"/>
    <col min="24" max="16384" width="10.875" style="27" customWidth="1"/>
  </cols>
  <sheetData>
    <row r="1" spans="1:22" s="3" customFormat="1" ht="30" customHeight="1">
      <c r="A1" s="272" t="s">
        <v>119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1"/>
      <c r="P1" s="1"/>
      <c r="Q1" s="1"/>
      <c r="R1" s="1"/>
      <c r="T1" s="1"/>
      <c r="U1" s="115"/>
      <c r="V1" s="2"/>
    </row>
    <row r="2" spans="1:22" s="14" customFormat="1" ht="15">
      <c r="A2" s="110" t="s">
        <v>124</v>
      </c>
      <c r="B2" s="9"/>
      <c r="C2" s="9"/>
      <c r="D2" s="11"/>
      <c r="E2" s="9"/>
      <c r="F2" s="7"/>
      <c r="G2" s="11"/>
      <c r="H2" s="5"/>
      <c r="I2" s="9"/>
      <c r="J2" s="6"/>
      <c r="K2" s="9"/>
      <c r="L2" s="9"/>
      <c r="M2" s="9"/>
      <c r="N2" s="111" t="s">
        <v>0</v>
      </c>
      <c r="O2" s="9"/>
      <c r="P2" s="9"/>
      <c r="Q2" s="9"/>
      <c r="R2" s="6"/>
      <c r="S2" s="8"/>
      <c r="T2" s="9"/>
      <c r="U2" s="12"/>
      <c r="V2" s="13"/>
    </row>
    <row r="3" spans="1:22" s="22" customFormat="1" ht="12">
      <c r="A3" s="15" t="s">
        <v>1</v>
      </c>
      <c r="B3" s="16"/>
      <c r="C3" s="16"/>
      <c r="D3" s="16"/>
      <c r="E3" s="16"/>
      <c r="F3" s="16"/>
      <c r="G3" s="16"/>
      <c r="H3" s="16" t="s">
        <v>2</v>
      </c>
      <c r="I3" s="16"/>
      <c r="J3" s="16"/>
      <c r="K3" s="16"/>
      <c r="L3" s="18"/>
      <c r="M3" s="16"/>
      <c r="N3" s="16"/>
      <c r="O3" s="16"/>
      <c r="P3" s="19"/>
      <c r="Q3" s="16"/>
      <c r="R3" s="17"/>
      <c r="S3" s="16"/>
      <c r="T3" s="16"/>
      <c r="U3" s="20" t="s">
        <v>3</v>
      </c>
      <c r="V3" s="21"/>
    </row>
    <row r="4" spans="1:22" ht="12">
      <c r="A4" s="15" t="s">
        <v>4</v>
      </c>
      <c r="B4" s="25" t="s">
        <v>14</v>
      </c>
      <c r="C4" s="24" t="s">
        <v>77</v>
      </c>
      <c r="D4" s="24" t="s">
        <v>11</v>
      </c>
      <c r="E4" s="24" t="s">
        <v>17</v>
      </c>
      <c r="F4" s="24" t="s">
        <v>7</v>
      </c>
      <c r="G4" s="25" t="s">
        <v>89</v>
      </c>
      <c r="H4" s="23" t="s">
        <v>5</v>
      </c>
      <c r="I4" s="25" t="s">
        <v>13</v>
      </c>
      <c r="J4" s="24" t="s">
        <v>8</v>
      </c>
      <c r="K4" s="24" t="s">
        <v>15</v>
      </c>
      <c r="L4" s="24" t="s">
        <v>10</v>
      </c>
      <c r="M4" s="24" t="s">
        <v>10</v>
      </c>
      <c r="N4" s="24" t="s">
        <v>16</v>
      </c>
      <c r="O4" s="25" t="s">
        <v>6</v>
      </c>
      <c r="P4" s="24" t="s">
        <v>6</v>
      </c>
      <c r="Q4" s="24" t="s">
        <v>79</v>
      </c>
      <c r="R4" s="24" t="s">
        <v>6</v>
      </c>
      <c r="S4" s="24" t="s">
        <v>6</v>
      </c>
      <c r="T4" s="25" t="s">
        <v>9</v>
      </c>
      <c r="U4" s="25"/>
      <c r="V4" s="26"/>
    </row>
    <row r="5" spans="1:22" ht="12">
      <c r="A5" s="15" t="s">
        <v>18</v>
      </c>
      <c r="B5" s="25" t="s">
        <v>31</v>
      </c>
      <c r="C5" s="24" t="s">
        <v>78</v>
      </c>
      <c r="D5" s="24" t="s">
        <v>28</v>
      </c>
      <c r="E5" s="24" t="s">
        <v>35</v>
      </c>
      <c r="F5" s="24" t="s">
        <v>21</v>
      </c>
      <c r="G5" s="24" t="s">
        <v>29</v>
      </c>
      <c r="H5" s="23" t="s">
        <v>19</v>
      </c>
      <c r="I5" s="25" t="s">
        <v>30</v>
      </c>
      <c r="J5" s="24" t="s">
        <v>23</v>
      </c>
      <c r="K5" s="24" t="s">
        <v>33</v>
      </c>
      <c r="L5" s="24" t="s">
        <v>26</v>
      </c>
      <c r="M5" s="24" t="s">
        <v>32</v>
      </c>
      <c r="N5" s="24" t="s">
        <v>34</v>
      </c>
      <c r="O5" s="25" t="s">
        <v>24</v>
      </c>
      <c r="P5" s="24" t="s">
        <v>27</v>
      </c>
      <c r="Q5" s="24" t="s">
        <v>84</v>
      </c>
      <c r="R5" s="24" t="s">
        <v>20</v>
      </c>
      <c r="S5" s="25" t="s">
        <v>22</v>
      </c>
      <c r="T5" s="25" t="s">
        <v>25</v>
      </c>
      <c r="U5" s="25"/>
      <c r="V5" s="26"/>
    </row>
    <row r="6" spans="1:22" ht="12">
      <c r="A6" s="28"/>
      <c r="B6" s="30"/>
      <c r="C6" s="24"/>
      <c r="D6" s="24" t="s">
        <v>44</v>
      </c>
      <c r="E6" s="24" t="s">
        <v>46</v>
      </c>
      <c r="F6" s="25"/>
      <c r="G6" s="30"/>
      <c r="H6" s="23" t="s">
        <v>36</v>
      </c>
      <c r="I6" s="30"/>
      <c r="J6" s="24" t="s">
        <v>39</v>
      </c>
      <c r="K6" s="24" t="s">
        <v>8</v>
      </c>
      <c r="L6" s="24" t="s">
        <v>42</v>
      </c>
      <c r="M6" s="24" t="s">
        <v>45</v>
      </c>
      <c r="N6" s="24"/>
      <c r="O6" s="29" t="s">
        <v>40</v>
      </c>
      <c r="P6" s="24" t="s">
        <v>43</v>
      </c>
      <c r="Q6" s="24" t="s">
        <v>85</v>
      </c>
      <c r="R6" s="24" t="s">
        <v>37</v>
      </c>
      <c r="S6" s="25" t="s">
        <v>38</v>
      </c>
      <c r="T6" s="25" t="s">
        <v>41</v>
      </c>
      <c r="U6" s="25"/>
      <c r="V6" s="26"/>
    </row>
    <row r="7" spans="1:22" s="14" customFormat="1" ht="12">
      <c r="A7" s="31"/>
      <c r="B7" s="32"/>
      <c r="C7" s="33"/>
      <c r="D7" s="32"/>
      <c r="E7" s="33" t="s">
        <v>53</v>
      </c>
      <c r="F7" s="32"/>
      <c r="G7" s="32"/>
      <c r="H7" s="31"/>
      <c r="I7" s="32"/>
      <c r="J7" s="33" t="s">
        <v>47</v>
      </c>
      <c r="K7" s="33" t="s">
        <v>52</v>
      </c>
      <c r="L7" s="33" t="s">
        <v>50</v>
      </c>
      <c r="M7" s="33" t="s">
        <v>51</v>
      </c>
      <c r="N7" s="33"/>
      <c r="O7" s="32" t="s">
        <v>48</v>
      </c>
      <c r="P7" s="33" t="s">
        <v>82</v>
      </c>
      <c r="Q7" s="33"/>
      <c r="R7" s="32"/>
      <c r="S7" s="32"/>
      <c r="T7" s="32" t="s">
        <v>49</v>
      </c>
      <c r="U7" s="32"/>
      <c r="V7" s="13"/>
    </row>
    <row r="8" spans="2:22" s="22" customFormat="1" ht="12">
      <c r="B8" s="34"/>
      <c r="C8" s="34"/>
      <c r="E8" s="34"/>
      <c r="F8" s="34"/>
      <c r="G8" s="34"/>
      <c r="H8" s="34"/>
      <c r="I8" s="34"/>
      <c r="J8" s="112"/>
      <c r="K8" s="34" t="s">
        <v>54</v>
      </c>
      <c r="L8" s="34"/>
      <c r="M8" s="34"/>
      <c r="N8" s="34"/>
      <c r="O8" s="34"/>
      <c r="P8" s="113"/>
      <c r="Q8" s="34"/>
      <c r="R8" s="34"/>
      <c r="S8" s="34"/>
      <c r="T8" s="34"/>
      <c r="U8" s="34"/>
      <c r="V8" s="21"/>
    </row>
    <row r="9" spans="1:22" s="3" customFormat="1" ht="12">
      <c r="A9" s="35" t="s">
        <v>55</v>
      </c>
      <c r="B9" s="37">
        <v>411</v>
      </c>
      <c r="C9" s="37">
        <v>95</v>
      </c>
      <c r="D9" s="36">
        <v>99</v>
      </c>
      <c r="E9" s="36">
        <v>313</v>
      </c>
      <c r="F9" s="36">
        <v>3029</v>
      </c>
      <c r="G9" s="36">
        <v>565</v>
      </c>
      <c r="H9" s="37">
        <v>1506</v>
      </c>
      <c r="I9" s="36">
        <v>2534</v>
      </c>
      <c r="J9" s="36">
        <v>3406</v>
      </c>
      <c r="K9" s="37">
        <v>820</v>
      </c>
      <c r="L9" s="36">
        <v>999</v>
      </c>
      <c r="M9" s="36">
        <v>201</v>
      </c>
      <c r="N9" s="36">
        <v>425</v>
      </c>
      <c r="O9" s="36">
        <v>994</v>
      </c>
      <c r="P9" s="36">
        <v>1700</v>
      </c>
      <c r="Q9" s="36">
        <v>297</v>
      </c>
      <c r="R9" s="37">
        <v>2441</v>
      </c>
      <c r="S9" s="37">
        <v>148</v>
      </c>
      <c r="T9" s="37">
        <v>179</v>
      </c>
      <c r="U9" s="38">
        <f aca="true" t="shared" si="0" ref="U9:U17">SUM(B9:T9)</f>
        <v>20162</v>
      </c>
      <c r="V9" s="39"/>
    </row>
    <row r="10" spans="1:24" ht="12">
      <c r="A10" s="40" t="s">
        <v>56</v>
      </c>
      <c r="B10" s="37">
        <v>330</v>
      </c>
      <c r="C10" s="37">
        <v>104</v>
      </c>
      <c r="D10" s="36">
        <v>66</v>
      </c>
      <c r="E10" s="36">
        <v>228</v>
      </c>
      <c r="F10" s="36">
        <v>2454</v>
      </c>
      <c r="G10" s="36">
        <v>344</v>
      </c>
      <c r="H10" s="37">
        <v>1261</v>
      </c>
      <c r="I10" s="36">
        <v>1635</v>
      </c>
      <c r="J10" s="36">
        <v>2585</v>
      </c>
      <c r="K10" s="37">
        <v>619</v>
      </c>
      <c r="L10" s="36">
        <v>890</v>
      </c>
      <c r="M10" s="36">
        <v>223</v>
      </c>
      <c r="N10" s="36">
        <v>279</v>
      </c>
      <c r="O10" s="36">
        <v>920</v>
      </c>
      <c r="P10" s="36">
        <v>1325</v>
      </c>
      <c r="Q10" s="36">
        <v>180</v>
      </c>
      <c r="R10" s="37">
        <v>2065</v>
      </c>
      <c r="S10" s="37">
        <v>124</v>
      </c>
      <c r="T10" s="37">
        <v>190</v>
      </c>
      <c r="U10" s="38">
        <f t="shared" si="0"/>
        <v>15822</v>
      </c>
      <c r="V10" s="39"/>
      <c r="W10" s="41"/>
      <c r="X10" s="41"/>
    </row>
    <row r="11" spans="1:24" ht="12">
      <c r="A11" s="40" t="s">
        <v>57</v>
      </c>
      <c r="B11" s="37">
        <v>237</v>
      </c>
      <c r="C11" s="37">
        <v>89</v>
      </c>
      <c r="D11" s="36">
        <v>83</v>
      </c>
      <c r="E11" s="36">
        <v>325</v>
      </c>
      <c r="F11" s="36">
        <v>3989</v>
      </c>
      <c r="G11" s="36">
        <v>355</v>
      </c>
      <c r="H11" s="37">
        <v>1349</v>
      </c>
      <c r="I11" s="36">
        <v>1884</v>
      </c>
      <c r="J11" s="36">
        <v>2306</v>
      </c>
      <c r="K11" s="37">
        <v>449</v>
      </c>
      <c r="L11" s="36">
        <v>871</v>
      </c>
      <c r="M11" s="36">
        <v>174</v>
      </c>
      <c r="N11" s="36">
        <v>298</v>
      </c>
      <c r="O11" s="36">
        <v>956</v>
      </c>
      <c r="P11" s="36">
        <v>1135</v>
      </c>
      <c r="Q11" s="36">
        <v>161</v>
      </c>
      <c r="R11" s="37">
        <v>1836</v>
      </c>
      <c r="S11" s="37">
        <v>171</v>
      </c>
      <c r="T11" s="37">
        <v>171</v>
      </c>
      <c r="U11" s="38">
        <f t="shared" si="0"/>
        <v>16839</v>
      </c>
      <c r="V11" s="39"/>
      <c r="W11" s="41"/>
      <c r="X11" s="41"/>
    </row>
    <row r="12" spans="1:24" ht="12">
      <c r="A12" s="40" t="s">
        <v>58</v>
      </c>
      <c r="B12" s="37">
        <v>45</v>
      </c>
      <c r="C12" s="37">
        <v>83</v>
      </c>
      <c r="D12" s="36">
        <v>40</v>
      </c>
      <c r="E12" s="36">
        <v>174</v>
      </c>
      <c r="F12" s="36">
        <v>456</v>
      </c>
      <c r="G12" s="36">
        <v>303</v>
      </c>
      <c r="H12" s="37">
        <v>1014</v>
      </c>
      <c r="I12" s="36">
        <v>536</v>
      </c>
      <c r="J12" s="36">
        <v>1592</v>
      </c>
      <c r="K12" s="37">
        <v>323</v>
      </c>
      <c r="L12" s="36">
        <v>426</v>
      </c>
      <c r="M12" s="36">
        <v>141</v>
      </c>
      <c r="N12" s="36">
        <v>127</v>
      </c>
      <c r="O12" s="36">
        <v>334</v>
      </c>
      <c r="P12" s="36">
        <v>390</v>
      </c>
      <c r="Q12" s="36">
        <v>155</v>
      </c>
      <c r="R12" s="37">
        <v>720</v>
      </c>
      <c r="S12" s="37">
        <v>80</v>
      </c>
      <c r="T12" s="37">
        <v>157</v>
      </c>
      <c r="U12" s="38">
        <f t="shared" si="0"/>
        <v>7096</v>
      </c>
      <c r="V12" s="42"/>
      <c r="W12" s="41"/>
      <c r="X12" s="41"/>
    </row>
    <row r="13" spans="1:24" ht="12">
      <c r="A13" s="40" t="s">
        <v>59</v>
      </c>
      <c r="B13" s="37">
        <v>101</v>
      </c>
      <c r="C13" s="36">
        <v>100</v>
      </c>
      <c r="D13" s="36">
        <v>46</v>
      </c>
      <c r="E13" s="36">
        <v>0</v>
      </c>
      <c r="F13" s="36">
        <v>0</v>
      </c>
      <c r="G13" s="36">
        <v>339</v>
      </c>
      <c r="H13" s="37">
        <v>0</v>
      </c>
      <c r="I13" s="36">
        <v>912</v>
      </c>
      <c r="J13" s="36">
        <v>400</v>
      </c>
      <c r="K13" s="37">
        <v>0</v>
      </c>
      <c r="L13" s="36">
        <v>490</v>
      </c>
      <c r="M13" s="36">
        <v>189</v>
      </c>
      <c r="N13" s="36">
        <v>274</v>
      </c>
      <c r="O13" s="36">
        <v>0</v>
      </c>
      <c r="P13" s="36">
        <v>300</v>
      </c>
      <c r="Q13" s="36">
        <v>0</v>
      </c>
      <c r="R13" s="37">
        <v>0</v>
      </c>
      <c r="S13" s="37">
        <v>0</v>
      </c>
      <c r="T13" s="37">
        <v>0</v>
      </c>
      <c r="U13" s="38">
        <f t="shared" si="0"/>
        <v>3151</v>
      </c>
      <c r="V13" s="42"/>
      <c r="W13" s="41"/>
      <c r="X13" s="41"/>
    </row>
    <row r="14" spans="1:24" ht="12">
      <c r="A14" s="40" t="s">
        <v>60</v>
      </c>
      <c r="B14" s="37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7">
        <v>0</v>
      </c>
      <c r="I14" s="36">
        <v>0</v>
      </c>
      <c r="J14" s="36">
        <v>0</v>
      </c>
      <c r="K14" s="37">
        <v>0</v>
      </c>
      <c r="L14" s="36">
        <v>484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7">
        <v>0</v>
      </c>
      <c r="S14" s="37">
        <v>0</v>
      </c>
      <c r="T14" s="37">
        <v>0</v>
      </c>
      <c r="U14" s="38">
        <f t="shared" si="0"/>
        <v>484</v>
      </c>
      <c r="V14" s="43"/>
      <c r="W14" s="41"/>
      <c r="X14" s="41"/>
    </row>
    <row r="15" spans="1:24" s="46" customFormat="1" ht="12">
      <c r="A15" s="44" t="s">
        <v>61</v>
      </c>
      <c r="B15" s="45">
        <f aca="true" t="shared" si="1" ref="B15:T15">SUM(B9:B14)</f>
        <v>1124</v>
      </c>
      <c r="C15" s="45">
        <f t="shared" si="1"/>
        <v>471</v>
      </c>
      <c r="D15" s="45">
        <f t="shared" si="1"/>
        <v>334</v>
      </c>
      <c r="E15" s="45">
        <f t="shared" si="1"/>
        <v>1040</v>
      </c>
      <c r="F15" s="45">
        <f t="shared" si="1"/>
        <v>9928</v>
      </c>
      <c r="G15" s="45">
        <f t="shared" si="1"/>
        <v>1906</v>
      </c>
      <c r="H15" s="45">
        <f t="shared" si="1"/>
        <v>5130</v>
      </c>
      <c r="I15" s="45">
        <f t="shared" si="1"/>
        <v>7501</v>
      </c>
      <c r="J15" s="45">
        <f t="shared" si="1"/>
        <v>10289</v>
      </c>
      <c r="K15" s="45">
        <f t="shared" si="1"/>
        <v>2211</v>
      </c>
      <c r="L15" s="45">
        <f t="shared" si="1"/>
        <v>4160</v>
      </c>
      <c r="M15" s="45">
        <f t="shared" si="1"/>
        <v>928</v>
      </c>
      <c r="N15" s="45">
        <f t="shared" si="1"/>
        <v>1403</v>
      </c>
      <c r="O15" s="45">
        <f t="shared" si="1"/>
        <v>3204</v>
      </c>
      <c r="P15" s="45">
        <f t="shared" si="1"/>
        <v>4850</v>
      </c>
      <c r="Q15" s="45">
        <f t="shared" si="1"/>
        <v>793</v>
      </c>
      <c r="R15" s="45">
        <f t="shared" si="1"/>
        <v>7062</v>
      </c>
      <c r="S15" s="45">
        <f t="shared" si="1"/>
        <v>523</v>
      </c>
      <c r="T15" s="45">
        <f t="shared" si="1"/>
        <v>697</v>
      </c>
      <c r="U15" s="50">
        <f t="shared" si="0"/>
        <v>63554</v>
      </c>
      <c r="V15" s="45">
        <f>SUM(B15:T15)-U15</f>
        <v>0</v>
      </c>
      <c r="W15" s="45"/>
      <c r="X15" s="45"/>
    </row>
    <row r="16" spans="1:24" ht="12">
      <c r="A16" s="28" t="s">
        <v>62</v>
      </c>
      <c r="B16" s="36">
        <v>655</v>
      </c>
      <c r="C16" s="36">
        <v>0</v>
      </c>
      <c r="D16" s="36">
        <v>77</v>
      </c>
      <c r="E16" s="36">
        <v>1254</v>
      </c>
      <c r="F16" s="36">
        <v>4638</v>
      </c>
      <c r="G16" s="36">
        <v>942</v>
      </c>
      <c r="H16" s="37">
        <v>5926</v>
      </c>
      <c r="I16" s="36">
        <v>5266</v>
      </c>
      <c r="J16" s="36">
        <v>6685</v>
      </c>
      <c r="K16" s="36">
        <v>1121</v>
      </c>
      <c r="L16" s="36">
        <v>819</v>
      </c>
      <c r="M16" s="36">
        <v>588</v>
      </c>
      <c r="N16" s="36">
        <v>582</v>
      </c>
      <c r="O16" s="36">
        <v>2153</v>
      </c>
      <c r="P16" s="36">
        <v>2404</v>
      </c>
      <c r="Q16" s="36">
        <v>384</v>
      </c>
      <c r="R16" s="36">
        <v>3496</v>
      </c>
      <c r="S16" s="36">
        <v>360</v>
      </c>
      <c r="T16" s="36">
        <v>302</v>
      </c>
      <c r="U16" s="38">
        <f t="shared" si="0"/>
        <v>37652</v>
      </c>
      <c r="V16" s="36">
        <f>+U17-U16-U15</f>
        <v>0</v>
      </c>
      <c r="W16" s="41"/>
      <c r="X16" s="47"/>
    </row>
    <row r="17" spans="1:24" s="53" customFormat="1" ht="12">
      <c r="A17" s="48" t="s">
        <v>63</v>
      </c>
      <c r="B17" s="49">
        <f aca="true" t="shared" si="2" ref="B17:T17">+B15+B16</f>
        <v>1779</v>
      </c>
      <c r="C17" s="49">
        <f t="shared" si="2"/>
        <v>471</v>
      </c>
      <c r="D17" s="49">
        <f t="shared" si="2"/>
        <v>411</v>
      </c>
      <c r="E17" s="49">
        <f t="shared" si="2"/>
        <v>2294</v>
      </c>
      <c r="F17" s="49">
        <f t="shared" si="2"/>
        <v>14566</v>
      </c>
      <c r="G17" s="49">
        <f t="shared" si="2"/>
        <v>2848</v>
      </c>
      <c r="H17" s="49">
        <f t="shared" si="2"/>
        <v>11056</v>
      </c>
      <c r="I17" s="49">
        <f t="shared" si="2"/>
        <v>12767</v>
      </c>
      <c r="J17" s="49">
        <f t="shared" si="2"/>
        <v>16974</v>
      </c>
      <c r="K17" s="49">
        <f t="shared" si="2"/>
        <v>3332</v>
      </c>
      <c r="L17" s="49">
        <f t="shared" si="2"/>
        <v>4979</v>
      </c>
      <c r="M17" s="49">
        <f t="shared" si="2"/>
        <v>1516</v>
      </c>
      <c r="N17" s="49">
        <f t="shared" si="2"/>
        <v>1985</v>
      </c>
      <c r="O17" s="49">
        <f t="shared" si="2"/>
        <v>5357</v>
      </c>
      <c r="P17" s="49">
        <f t="shared" si="2"/>
        <v>7254</v>
      </c>
      <c r="Q17" s="49">
        <f t="shared" si="2"/>
        <v>1177</v>
      </c>
      <c r="R17" s="49">
        <f t="shared" si="2"/>
        <v>10558</v>
      </c>
      <c r="S17" s="49">
        <f t="shared" si="2"/>
        <v>883</v>
      </c>
      <c r="T17" s="49">
        <f t="shared" si="2"/>
        <v>999</v>
      </c>
      <c r="U17" s="50">
        <f t="shared" si="0"/>
        <v>101206</v>
      </c>
      <c r="V17" s="51">
        <f>+U17-U16-SUM(U9:U14)</f>
        <v>0</v>
      </c>
      <c r="W17" s="52"/>
      <c r="X17" s="52"/>
    </row>
    <row r="18" spans="1:24" s="22" customFormat="1" ht="12">
      <c r="A18" s="54" t="s">
        <v>86</v>
      </c>
      <c r="B18" s="54"/>
      <c r="C18" s="114"/>
      <c r="D18" s="54"/>
      <c r="E18" s="114"/>
      <c r="F18" s="54"/>
      <c r="G18" s="54"/>
      <c r="H18" s="114"/>
      <c r="I18" s="54"/>
      <c r="J18" s="54"/>
      <c r="K18" s="114"/>
      <c r="L18" s="54"/>
      <c r="M18" s="54"/>
      <c r="N18" s="114"/>
      <c r="O18" s="54"/>
      <c r="P18" s="54"/>
      <c r="Q18" s="114"/>
      <c r="R18" s="114"/>
      <c r="S18" s="54"/>
      <c r="T18" s="54"/>
      <c r="U18" s="54">
        <v>0</v>
      </c>
      <c r="V18" s="56"/>
      <c r="W18" s="57"/>
      <c r="X18" s="57"/>
    </row>
    <row r="19" spans="1:24" ht="12">
      <c r="A19" s="35" t="s">
        <v>55</v>
      </c>
      <c r="B19" s="58">
        <v>274</v>
      </c>
      <c r="C19" s="58">
        <v>56</v>
      </c>
      <c r="D19" s="58">
        <v>66</v>
      </c>
      <c r="E19" s="58">
        <v>141</v>
      </c>
      <c r="F19" s="58">
        <v>1606</v>
      </c>
      <c r="G19" s="58">
        <v>191</v>
      </c>
      <c r="H19" s="37">
        <v>659</v>
      </c>
      <c r="I19" s="58">
        <v>2024</v>
      </c>
      <c r="J19" s="58">
        <v>1377</v>
      </c>
      <c r="K19" s="58">
        <v>141</v>
      </c>
      <c r="L19" s="58">
        <v>363</v>
      </c>
      <c r="M19" s="58">
        <v>80</v>
      </c>
      <c r="N19" s="58">
        <v>88</v>
      </c>
      <c r="O19" s="58">
        <v>147</v>
      </c>
      <c r="P19" s="58">
        <v>1035</v>
      </c>
      <c r="Q19" s="58">
        <v>196</v>
      </c>
      <c r="R19" s="58">
        <v>1101</v>
      </c>
      <c r="S19" s="37">
        <v>85</v>
      </c>
      <c r="T19" s="58">
        <v>18</v>
      </c>
      <c r="U19" s="38">
        <f aca="true" t="shared" si="3" ref="U19:U27">SUM(B19:T19)</f>
        <v>9648</v>
      </c>
      <c r="V19" s="39"/>
      <c r="W19" s="41"/>
      <c r="X19" s="41"/>
    </row>
    <row r="20" spans="1:24" ht="12">
      <c r="A20" s="40" t="s">
        <v>56</v>
      </c>
      <c r="B20" s="58">
        <v>208</v>
      </c>
      <c r="C20" s="58">
        <v>49</v>
      </c>
      <c r="D20" s="58">
        <v>41</v>
      </c>
      <c r="E20" s="58">
        <v>86</v>
      </c>
      <c r="F20" s="58">
        <v>1340</v>
      </c>
      <c r="G20" s="58">
        <v>113</v>
      </c>
      <c r="H20" s="37">
        <v>528</v>
      </c>
      <c r="I20" s="58">
        <v>1254</v>
      </c>
      <c r="J20" s="58">
        <v>1015</v>
      </c>
      <c r="K20" s="58">
        <v>115</v>
      </c>
      <c r="L20" s="58">
        <v>316</v>
      </c>
      <c r="M20" s="58">
        <v>84</v>
      </c>
      <c r="N20" s="58">
        <v>56</v>
      </c>
      <c r="O20" s="58">
        <v>125</v>
      </c>
      <c r="P20" s="58">
        <v>811</v>
      </c>
      <c r="Q20" s="58">
        <v>121</v>
      </c>
      <c r="R20" s="58">
        <v>917</v>
      </c>
      <c r="S20" s="37">
        <v>70</v>
      </c>
      <c r="T20" s="58">
        <v>25</v>
      </c>
      <c r="U20" s="38">
        <f t="shared" si="3"/>
        <v>7274</v>
      </c>
      <c r="V20" s="39"/>
      <c r="W20" s="41"/>
      <c r="X20" s="41"/>
    </row>
    <row r="21" spans="1:24" ht="12">
      <c r="A21" s="40" t="s">
        <v>57</v>
      </c>
      <c r="B21" s="58">
        <v>150</v>
      </c>
      <c r="C21" s="58">
        <v>30</v>
      </c>
      <c r="D21" s="58">
        <v>46</v>
      </c>
      <c r="E21" s="58">
        <v>81</v>
      </c>
      <c r="F21" s="58">
        <v>2910</v>
      </c>
      <c r="G21" s="58">
        <v>106</v>
      </c>
      <c r="H21" s="37">
        <v>576</v>
      </c>
      <c r="I21" s="58">
        <v>1511</v>
      </c>
      <c r="J21" s="58">
        <v>839</v>
      </c>
      <c r="K21" s="58">
        <v>60</v>
      </c>
      <c r="L21" s="58">
        <v>312</v>
      </c>
      <c r="M21" s="58">
        <v>69</v>
      </c>
      <c r="N21" s="58">
        <v>52</v>
      </c>
      <c r="O21" s="58">
        <v>95</v>
      </c>
      <c r="P21" s="58">
        <v>691</v>
      </c>
      <c r="Q21" s="58">
        <v>93</v>
      </c>
      <c r="R21" s="58">
        <v>796</v>
      </c>
      <c r="S21" s="37">
        <v>93</v>
      </c>
      <c r="T21" s="58">
        <v>20</v>
      </c>
      <c r="U21" s="38">
        <f t="shared" si="3"/>
        <v>8530</v>
      </c>
      <c r="V21" s="39"/>
      <c r="W21" s="41"/>
      <c r="X21" s="41"/>
    </row>
    <row r="22" spans="1:24" s="60" customFormat="1" ht="12">
      <c r="A22" s="40" t="s">
        <v>58</v>
      </c>
      <c r="B22" s="58">
        <v>33</v>
      </c>
      <c r="C22" s="58">
        <v>36</v>
      </c>
      <c r="D22" s="58">
        <v>31</v>
      </c>
      <c r="E22" s="58">
        <v>38</v>
      </c>
      <c r="F22" s="58">
        <v>237</v>
      </c>
      <c r="G22" s="58">
        <v>93</v>
      </c>
      <c r="H22" s="37">
        <v>405</v>
      </c>
      <c r="I22" s="58">
        <v>372</v>
      </c>
      <c r="J22" s="58">
        <v>619</v>
      </c>
      <c r="K22" s="58">
        <v>55</v>
      </c>
      <c r="L22" s="58">
        <v>170</v>
      </c>
      <c r="M22" s="58">
        <v>34</v>
      </c>
      <c r="N22" s="58">
        <v>29</v>
      </c>
      <c r="O22" s="58">
        <v>28</v>
      </c>
      <c r="P22" s="58">
        <v>185</v>
      </c>
      <c r="Q22" s="58">
        <v>91</v>
      </c>
      <c r="R22" s="58">
        <v>265</v>
      </c>
      <c r="S22" s="37">
        <v>38</v>
      </c>
      <c r="T22" s="58">
        <v>16</v>
      </c>
      <c r="U22" s="38">
        <f t="shared" si="3"/>
        <v>2775</v>
      </c>
      <c r="V22" s="42"/>
      <c r="W22" s="59"/>
      <c r="X22" s="59"/>
    </row>
    <row r="23" spans="1:24" s="60" customFormat="1" ht="12">
      <c r="A23" s="40" t="s">
        <v>59</v>
      </c>
      <c r="B23" s="58">
        <v>69</v>
      </c>
      <c r="C23" s="58">
        <v>44</v>
      </c>
      <c r="D23" s="58">
        <v>24</v>
      </c>
      <c r="E23" s="58"/>
      <c r="F23" s="58">
        <v>0</v>
      </c>
      <c r="G23" s="58">
        <v>96</v>
      </c>
      <c r="H23" s="58"/>
      <c r="I23" s="58">
        <v>665</v>
      </c>
      <c r="J23" s="58">
        <v>142</v>
      </c>
      <c r="K23" s="58"/>
      <c r="L23" s="58">
        <v>205</v>
      </c>
      <c r="M23" s="58">
        <v>66</v>
      </c>
      <c r="N23" s="58">
        <v>43</v>
      </c>
      <c r="O23" s="58"/>
      <c r="P23" s="58">
        <v>113</v>
      </c>
      <c r="Q23" s="58"/>
      <c r="R23" s="58">
        <v>0</v>
      </c>
      <c r="S23" s="37"/>
      <c r="T23" s="58"/>
      <c r="U23" s="38">
        <f t="shared" si="3"/>
        <v>1467</v>
      </c>
      <c r="V23" s="42"/>
      <c r="W23" s="59"/>
      <c r="X23" s="59"/>
    </row>
    <row r="24" spans="1:24" s="62" customFormat="1" ht="12">
      <c r="A24" s="40" t="s">
        <v>60</v>
      </c>
      <c r="B24" s="58"/>
      <c r="C24" s="58"/>
      <c r="D24" s="58"/>
      <c r="E24" s="58"/>
      <c r="F24" s="58">
        <v>0</v>
      </c>
      <c r="G24" s="58"/>
      <c r="H24" s="58"/>
      <c r="I24" s="58">
        <v>0</v>
      </c>
      <c r="J24" s="58"/>
      <c r="K24" s="58"/>
      <c r="L24" s="58">
        <v>203</v>
      </c>
      <c r="M24" s="58"/>
      <c r="N24" s="58"/>
      <c r="O24" s="58"/>
      <c r="P24" s="58"/>
      <c r="Q24" s="58"/>
      <c r="R24" s="58">
        <v>0</v>
      </c>
      <c r="S24" s="37"/>
      <c r="T24" s="58"/>
      <c r="U24" s="38">
        <f t="shared" si="3"/>
        <v>203</v>
      </c>
      <c r="V24" s="43"/>
      <c r="W24" s="61"/>
      <c r="X24" s="61"/>
    </row>
    <row r="25" spans="1:23" s="63" customFormat="1" ht="12">
      <c r="A25" s="44" t="s">
        <v>61</v>
      </c>
      <c r="B25" s="45">
        <f aca="true" t="shared" si="4" ref="B25:T25">SUM(B19:B24)</f>
        <v>734</v>
      </c>
      <c r="C25" s="45">
        <f t="shared" si="4"/>
        <v>215</v>
      </c>
      <c r="D25" s="45">
        <f t="shared" si="4"/>
        <v>208</v>
      </c>
      <c r="E25" s="45">
        <f t="shared" si="4"/>
        <v>346</v>
      </c>
      <c r="F25" s="45">
        <f t="shared" si="4"/>
        <v>6093</v>
      </c>
      <c r="G25" s="45">
        <f t="shared" si="4"/>
        <v>599</v>
      </c>
      <c r="H25" s="45">
        <f t="shared" si="4"/>
        <v>2168</v>
      </c>
      <c r="I25" s="45">
        <f t="shared" si="4"/>
        <v>5826</v>
      </c>
      <c r="J25" s="45">
        <f t="shared" si="4"/>
        <v>3992</v>
      </c>
      <c r="K25" s="45">
        <f t="shared" si="4"/>
        <v>371</v>
      </c>
      <c r="L25" s="45">
        <f t="shared" si="4"/>
        <v>1569</v>
      </c>
      <c r="M25" s="45">
        <f t="shared" si="4"/>
        <v>333</v>
      </c>
      <c r="N25" s="45">
        <f t="shared" si="4"/>
        <v>268</v>
      </c>
      <c r="O25" s="45">
        <f t="shared" si="4"/>
        <v>395</v>
      </c>
      <c r="P25" s="45">
        <f t="shared" si="4"/>
        <v>2835</v>
      </c>
      <c r="Q25" s="45">
        <f t="shared" si="4"/>
        <v>501</v>
      </c>
      <c r="R25" s="45">
        <f t="shared" si="4"/>
        <v>3079</v>
      </c>
      <c r="S25" s="45">
        <f t="shared" si="4"/>
        <v>286</v>
      </c>
      <c r="T25" s="45">
        <f t="shared" si="4"/>
        <v>79</v>
      </c>
      <c r="U25" s="50">
        <f t="shared" si="3"/>
        <v>29897</v>
      </c>
      <c r="V25" s="45">
        <f>SUM(B25:T25)-U25</f>
        <v>0</v>
      </c>
      <c r="W25" s="36"/>
    </row>
    <row r="26" spans="1:22" s="64" customFormat="1" ht="12">
      <c r="A26" s="28" t="s">
        <v>62</v>
      </c>
      <c r="B26" s="58">
        <v>423</v>
      </c>
      <c r="C26" s="58">
        <v>0</v>
      </c>
      <c r="D26" s="58">
        <v>55</v>
      </c>
      <c r="E26" s="58">
        <v>326</v>
      </c>
      <c r="F26" s="58">
        <v>2836</v>
      </c>
      <c r="G26" s="58">
        <v>275</v>
      </c>
      <c r="H26" s="58">
        <v>2565</v>
      </c>
      <c r="I26" s="58">
        <v>4450</v>
      </c>
      <c r="J26" s="58">
        <v>2712</v>
      </c>
      <c r="K26" s="58">
        <v>146</v>
      </c>
      <c r="L26" s="58">
        <v>401</v>
      </c>
      <c r="M26" s="58">
        <v>216</v>
      </c>
      <c r="N26" s="58">
        <v>129</v>
      </c>
      <c r="O26" s="58">
        <v>240</v>
      </c>
      <c r="P26" s="37">
        <v>1419</v>
      </c>
      <c r="Q26" s="58">
        <v>195</v>
      </c>
      <c r="R26" s="58">
        <v>1527</v>
      </c>
      <c r="S26" s="58">
        <v>218</v>
      </c>
      <c r="T26" s="58">
        <v>53</v>
      </c>
      <c r="U26" s="38">
        <f t="shared" si="3"/>
        <v>18186</v>
      </c>
      <c r="V26" s="36">
        <f>+U27-U26-U25</f>
        <v>0</v>
      </c>
    </row>
    <row r="27" spans="1:24" s="53" customFormat="1" ht="12">
      <c r="A27" s="48" t="s">
        <v>63</v>
      </c>
      <c r="B27" s="49">
        <f aca="true" t="shared" si="5" ref="B27:T27">+B25+B26</f>
        <v>1157</v>
      </c>
      <c r="C27" s="49">
        <f t="shared" si="5"/>
        <v>215</v>
      </c>
      <c r="D27" s="49">
        <f t="shared" si="5"/>
        <v>263</v>
      </c>
      <c r="E27" s="49">
        <f t="shared" si="5"/>
        <v>672</v>
      </c>
      <c r="F27" s="49">
        <f t="shared" si="5"/>
        <v>8929</v>
      </c>
      <c r="G27" s="49">
        <f t="shared" si="5"/>
        <v>874</v>
      </c>
      <c r="H27" s="49">
        <f t="shared" si="5"/>
        <v>4733</v>
      </c>
      <c r="I27" s="49">
        <f t="shared" si="5"/>
        <v>10276</v>
      </c>
      <c r="J27" s="49">
        <f t="shared" si="5"/>
        <v>6704</v>
      </c>
      <c r="K27" s="49">
        <f t="shared" si="5"/>
        <v>517</v>
      </c>
      <c r="L27" s="49">
        <f t="shared" si="5"/>
        <v>1970</v>
      </c>
      <c r="M27" s="49">
        <f t="shared" si="5"/>
        <v>549</v>
      </c>
      <c r="N27" s="49">
        <f t="shared" si="5"/>
        <v>397</v>
      </c>
      <c r="O27" s="49">
        <f t="shared" si="5"/>
        <v>635</v>
      </c>
      <c r="P27" s="49">
        <f t="shared" si="5"/>
        <v>4254</v>
      </c>
      <c r="Q27" s="49">
        <f t="shared" si="5"/>
        <v>696</v>
      </c>
      <c r="R27" s="49">
        <f t="shared" si="5"/>
        <v>4606</v>
      </c>
      <c r="S27" s="49">
        <f t="shared" si="5"/>
        <v>504</v>
      </c>
      <c r="T27" s="49">
        <f t="shared" si="5"/>
        <v>132</v>
      </c>
      <c r="U27" s="50">
        <f t="shared" si="3"/>
        <v>48083</v>
      </c>
      <c r="V27" s="51">
        <f>+U27-U26-SUM(U19:U24)</f>
        <v>0</v>
      </c>
      <c r="W27" s="65"/>
      <c r="X27" s="65"/>
    </row>
    <row r="28" spans="1:24" s="22" customFormat="1" ht="12">
      <c r="A28" s="66" t="s">
        <v>87</v>
      </c>
      <c r="B28" s="66"/>
      <c r="C28" s="114"/>
      <c r="D28" s="66"/>
      <c r="E28" s="114"/>
      <c r="F28" s="66"/>
      <c r="G28" s="66"/>
      <c r="H28" s="114"/>
      <c r="I28" s="66"/>
      <c r="J28" s="66"/>
      <c r="K28" s="114"/>
      <c r="L28" s="66"/>
      <c r="M28" s="66"/>
      <c r="N28" s="114"/>
      <c r="O28" s="66"/>
      <c r="P28" s="66"/>
      <c r="Q28" s="114"/>
      <c r="R28" s="114"/>
      <c r="S28" s="66"/>
      <c r="T28" s="66"/>
      <c r="U28" s="67">
        <v>0</v>
      </c>
      <c r="V28" s="56"/>
      <c r="W28" s="57"/>
      <c r="X28" s="57"/>
    </row>
    <row r="29" spans="1:24" ht="12">
      <c r="A29" s="35" t="s">
        <v>55</v>
      </c>
      <c r="B29" s="58">
        <f aca="true" t="shared" si="6" ref="B29:T34">B9-B19</f>
        <v>137</v>
      </c>
      <c r="C29" s="58">
        <f t="shared" si="6"/>
        <v>39</v>
      </c>
      <c r="D29" s="58">
        <f t="shared" si="6"/>
        <v>33</v>
      </c>
      <c r="E29" s="58">
        <f t="shared" si="6"/>
        <v>172</v>
      </c>
      <c r="F29" s="58">
        <f t="shared" si="6"/>
        <v>1423</v>
      </c>
      <c r="G29" s="58">
        <f t="shared" si="6"/>
        <v>374</v>
      </c>
      <c r="H29" s="58">
        <f t="shared" si="6"/>
        <v>847</v>
      </c>
      <c r="I29" s="58">
        <f t="shared" si="6"/>
        <v>510</v>
      </c>
      <c r="J29" s="58">
        <f t="shared" si="6"/>
        <v>2029</v>
      </c>
      <c r="K29" s="58">
        <f t="shared" si="6"/>
        <v>679</v>
      </c>
      <c r="L29" s="58">
        <f t="shared" si="6"/>
        <v>636</v>
      </c>
      <c r="M29" s="58">
        <f t="shared" si="6"/>
        <v>121</v>
      </c>
      <c r="N29" s="58">
        <f t="shared" si="6"/>
        <v>337</v>
      </c>
      <c r="O29" s="58">
        <f t="shared" si="6"/>
        <v>847</v>
      </c>
      <c r="P29" s="58">
        <f t="shared" si="6"/>
        <v>665</v>
      </c>
      <c r="Q29" s="58">
        <f t="shared" si="6"/>
        <v>101</v>
      </c>
      <c r="R29" s="58">
        <f t="shared" si="6"/>
        <v>1340</v>
      </c>
      <c r="S29" s="58">
        <f t="shared" si="6"/>
        <v>63</v>
      </c>
      <c r="T29" s="58">
        <f t="shared" si="6"/>
        <v>161</v>
      </c>
      <c r="U29" s="38">
        <f aca="true" t="shared" si="7" ref="U29:U37">SUM(B29:T29)</f>
        <v>10514</v>
      </c>
      <c r="V29" s="39"/>
      <c r="W29" s="41"/>
      <c r="X29" s="41"/>
    </row>
    <row r="30" spans="1:24" ht="12">
      <c r="A30" s="40" t="s">
        <v>56</v>
      </c>
      <c r="B30" s="58">
        <f t="shared" si="6"/>
        <v>122</v>
      </c>
      <c r="C30" s="58">
        <f t="shared" si="6"/>
        <v>55</v>
      </c>
      <c r="D30" s="58">
        <f t="shared" si="6"/>
        <v>25</v>
      </c>
      <c r="E30" s="58">
        <f t="shared" si="6"/>
        <v>142</v>
      </c>
      <c r="F30" s="58">
        <f t="shared" si="6"/>
        <v>1114</v>
      </c>
      <c r="G30" s="58">
        <f t="shared" si="6"/>
        <v>231</v>
      </c>
      <c r="H30" s="58">
        <f t="shared" si="6"/>
        <v>733</v>
      </c>
      <c r="I30" s="58">
        <f t="shared" si="6"/>
        <v>381</v>
      </c>
      <c r="J30" s="58">
        <f t="shared" si="6"/>
        <v>1570</v>
      </c>
      <c r="K30" s="58">
        <f t="shared" si="6"/>
        <v>504</v>
      </c>
      <c r="L30" s="58">
        <f t="shared" si="6"/>
        <v>574</v>
      </c>
      <c r="M30" s="58">
        <f t="shared" si="6"/>
        <v>139</v>
      </c>
      <c r="N30" s="58">
        <f t="shared" si="6"/>
        <v>223</v>
      </c>
      <c r="O30" s="58">
        <f t="shared" si="6"/>
        <v>795</v>
      </c>
      <c r="P30" s="58">
        <f t="shared" si="6"/>
        <v>514</v>
      </c>
      <c r="Q30" s="58">
        <f t="shared" si="6"/>
        <v>59</v>
      </c>
      <c r="R30" s="58">
        <f t="shared" si="6"/>
        <v>1148</v>
      </c>
      <c r="S30" s="58">
        <f t="shared" si="6"/>
        <v>54</v>
      </c>
      <c r="T30" s="58">
        <f t="shared" si="6"/>
        <v>165</v>
      </c>
      <c r="U30" s="38">
        <f t="shared" si="7"/>
        <v>8548</v>
      </c>
      <c r="V30" s="39"/>
      <c r="W30" s="41"/>
      <c r="X30" s="41"/>
    </row>
    <row r="31" spans="1:24" ht="12">
      <c r="A31" s="40" t="s">
        <v>57</v>
      </c>
      <c r="B31" s="58">
        <f t="shared" si="6"/>
        <v>87</v>
      </c>
      <c r="C31" s="58">
        <f t="shared" si="6"/>
        <v>59</v>
      </c>
      <c r="D31" s="58">
        <f t="shared" si="6"/>
        <v>37</v>
      </c>
      <c r="E31" s="58">
        <f t="shared" si="6"/>
        <v>244</v>
      </c>
      <c r="F31" s="58">
        <f t="shared" si="6"/>
        <v>1079</v>
      </c>
      <c r="G31" s="58">
        <f t="shared" si="6"/>
        <v>249</v>
      </c>
      <c r="H31" s="58">
        <f t="shared" si="6"/>
        <v>773</v>
      </c>
      <c r="I31" s="58">
        <f t="shared" si="6"/>
        <v>373</v>
      </c>
      <c r="J31" s="58">
        <f t="shared" si="6"/>
        <v>1467</v>
      </c>
      <c r="K31" s="58">
        <f t="shared" si="6"/>
        <v>389</v>
      </c>
      <c r="L31" s="58">
        <f t="shared" si="6"/>
        <v>559</v>
      </c>
      <c r="M31" s="58">
        <f t="shared" si="6"/>
        <v>105</v>
      </c>
      <c r="N31" s="58">
        <f t="shared" si="6"/>
        <v>246</v>
      </c>
      <c r="O31" s="58">
        <f t="shared" si="6"/>
        <v>861</v>
      </c>
      <c r="P31" s="58">
        <f t="shared" si="6"/>
        <v>444</v>
      </c>
      <c r="Q31" s="58">
        <f t="shared" si="6"/>
        <v>68</v>
      </c>
      <c r="R31" s="58">
        <f t="shared" si="6"/>
        <v>1040</v>
      </c>
      <c r="S31" s="58">
        <f t="shared" si="6"/>
        <v>78</v>
      </c>
      <c r="T31" s="58">
        <f t="shared" si="6"/>
        <v>151</v>
      </c>
      <c r="U31" s="38">
        <f t="shared" si="7"/>
        <v>8309</v>
      </c>
      <c r="V31" s="39"/>
      <c r="W31" s="41"/>
      <c r="X31" s="41"/>
    </row>
    <row r="32" spans="1:24" ht="12">
      <c r="A32" s="40" t="s">
        <v>58</v>
      </c>
      <c r="B32" s="58">
        <f t="shared" si="6"/>
        <v>12</v>
      </c>
      <c r="C32" s="58">
        <f t="shared" si="6"/>
        <v>47</v>
      </c>
      <c r="D32" s="58">
        <f t="shared" si="6"/>
        <v>9</v>
      </c>
      <c r="E32" s="58">
        <f t="shared" si="6"/>
        <v>136</v>
      </c>
      <c r="F32" s="58">
        <f t="shared" si="6"/>
        <v>219</v>
      </c>
      <c r="G32" s="58">
        <f t="shared" si="6"/>
        <v>210</v>
      </c>
      <c r="H32" s="58">
        <f t="shared" si="6"/>
        <v>609</v>
      </c>
      <c r="I32" s="58">
        <f t="shared" si="6"/>
        <v>164</v>
      </c>
      <c r="J32" s="58">
        <f t="shared" si="6"/>
        <v>973</v>
      </c>
      <c r="K32" s="58">
        <f t="shared" si="6"/>
        <v>268</v>
      </c>
      <c r="L32" s="58">
        <f t="shared" si="6"/>
        <v>256</v>
      </c>
      <c r="M32" s="58">
        <f t="shared" si="6"/>
        <v>107</v>
      </c>
      <c r="N32" s="58">
        <f t="shared" si="6"/>
        <v>98</v>
      </c>
      <c r="O32" s="58">
        <f t="shared" si="6"/>
        <v>306</v>
      </c>
      <c r="P32" s="58">
        <f t="shared" si="6"/>
        <v>205</v>
      </c>
      <c r="Q32" s="58">
        <f t="shared" si="6"/>
        <v>64</v>
      </c>
      <c r="R32" s="58">
        <f t="shared" si="6"/>
        <v>455</v>
      </c>
      <c r="S32" s="58">
        <f t="shared" si="6"/>
        <v>42</v>
      </c>
      <c r="T32" s="58">
        <f t="shared" si="6"/>
        <v>141</v>
      </c>
      <c r="U32" s="38">
        <f t="shared" si="7"/>
        <v>4321</v>
      </c>
      <c r="V32" s="42"/>
      <c r="W32" s="59"/>
      <c r="X32" s="41"/>
    </row>
    <row r="33" spans="1:24" ht="12">
      <c r="A33" s="40" t="s">
        <v>59</v>
      </c>
      <c r="B33" s="58">
        <f>B13-B23</f>
        <v>32</v>
      </c>
      <c r="C33" s="58">
        <v>56</v>
      </c>
      <c r="D33" s="58">
        <f t="shared" si="6"/>
        <v>22</v>
      </c>
      <c r="E33" s="58">
        <f t="shared" si="6"/>
        <v>0</v>
      </c>
      <c r="F33" s="58">
        <f t="shared" si="6"/>
        <v>0</v>
      </c>
      <c r="G33" s="58">
        <f t="shared" si="6"/>
        <v>243</v>
      </c>
      <c r="H33" s="58">
        <f t="shared" si="6"/>
        <v>0</v>
      </c>
      <c r="I33" s="58">
        <f t="shared" si="6"/>
        <v>247</v>
      </c>
      <c r="J33" s="58">
        <f t="shared" si="6"/>
        <v>258</v>
      </c>
      <c r="K33" s="58">
        <f t="shared" si="6"/>
        <v>0</v>
      </c>
      <c r="L33" s="58">
        <f t="shared" si="6"/>
        <v>285</v>
      </c>
      <c r="M33" s="58">
        <f t="shared" si="6"/>
        <v>123</v>
      </c>
      <c r="N33" s="58">
        <f t="shared" si="6"/>
        <v>231</v>
      </c>
      <c r="O33" s="58">
        <f t="shared" si="6"/>
        <v>0</v>
      </c>
      <c r="P33" s="58">
        <f t="shared" si="6"/>
        <v>187</v>
      </c>
      <c r="Q33" s="58">
        <f t="shared" si="6"/>
        <v>0</v>
      </c>
      <c r="R33" s="58">
        <f t="shared" si="6"/>
        <v>0</v>
      </c>
      <c r="S33" s="58">
        <f t="shared" si="6"/>
        <v>0</v>
      </c>
      <c r="T33" s="58">
        <f t="shared" si="6"/>
        <v>0</v>
      </c>
      <c r="U33" s="38">
        <f t="shared" si="7"/>
        <v>1684</v>
      </c>
      <c r="V33" s="42"/>
      <c r="W33" s="59"/>
      <c r="X33" s="41"/>
    </row>
    <row r="34" spans="1:24" ht="12">
      <c r="A34" s="40" t="s">
        <v>60</v>
      </c>
      <c r="B34" s="58">
        <f>B14-B24</f>
        <v>0</v>
      </c>
      <c r="C34" s="58"/>
      <c r="D34" s="58">
        <f t="shared" si="6"/>
        <v>0</v>
      </c>
      <c r="E34" s="58">
        <f t="shared" si="6"/>
        <v>0</v>
      </c>
      <c r="F34" s="58">
        <f t="shared" si="6"/>
        <v>0</v>
      </c>
      <c r="G34" s="58">
        <f t="shared" si="6"/>
        <v>0</v>
      </c>
      <c r="H34" s="58">
        <f t="shared" si="6"/>
        <v>0</v>
      </c>
      <c r="I34" s="58">
        <f t="shared" si="6"/>
        <v>0</v>
      </c>
      <c r="J34" s="58">
        <f t="shared" si="6"/>
        <v>0</v>
      </c>
      <c r="K34" s="58">
        <f t="shared" si="6"/>
        <v>0</v>
      </c>
      <c r="L34" s="58">
        <f t="shared" si="6"/>
        <v>281</v>
      </c>
      <c r="M34" s="58">
        <f t="shared" si="6"/>
        <v>0</v>
      </c>
      <c r="N34" s="58">
        <f t="shared" si="6"/>
        <v>0</v>
      </c>
      <c r="O34" s="58">
        <f t="shared" si="6"/>
        <v>0</v>
      </c>
      <c r="P34" s="58">
        <f t="shared" si="6"/>
        <v>0</v>
      </c>
      <c r="Q34" s="58">
        <f t="shared" si="6"/>
        <v>0</v>
      </c>
      <c r="R34" s="58">
        <f t="shared" si="6"/>
        <v>0</v>
      </c>
      <c r="S34" s="58">
        <f t="shared" si="6"/>
        <v>0</v>
      </c>
      <c r="T34" s="58">
        <f t="shared" si="6"/>
        <v>0</v>
      </c>
      <c r="U34" s="38">
        <f t="shared" si="7"/>
        <v>281</v>
      </c>
      <c r="V34" s="43"/>
      <c r="W34" s="61"/>
      <c r="X34" s="41"/>
    </row>
    <row r="35" spans="1:24" s="46" customFormat="1" ht="12">
      <c r="A35" s="44" t="s">
        <v>61</v>
      </c>
      <c r="B35" s="45">
        <f aca="true" t="shared" si="8" ref="B35:T35">SUM(B29:B34)</f>
        <v>390</v>
      </c>
      <c r="C35" s="45">
        <f t="shared" si="8"/>
        <v>256</v>
      </c>
      <c r="D35" s="45">
        <f t="shared" si="8"/>
        <v>126</v>
      </c>
      <c r="E35" s="45">
        <f t="shared" si="8"/>
        <v>694</v>
      </c>
      <c r="F35" s="45">
        <f t="shared" si="8"/>
        <v>3835</v>
      </c>
      <c r="G35" s="45">
        <f t="shared" si="8"/>
        <v>1307</v>
      </c>
      <c r="H35" s="45">
        <f t="shared" si="8"/>
        <v>2962</v>
      </c>
      <c r="I35" s="45">
        <f t="shared" si="8"/>
        <v>1675</v>
      </c>
      <c r="J35" s="45">
        <f t="shared" si="8"/>
        <v>6297</v>
      </c>
      <c r="K35" s="45">
        <f t="shared" si="8"/>
        <v>1840</v>
      </c>
      <c r="L35" s="45">
        <f t="shared" si="8"/>
        <v>2591</v>
      </c>
      <c r="M35" s="45">
        <f t="shared" si="8"/>
        <v>595</v>
      </c>
      <c r="N35" s="45">
        <f t="shared" si="8"/>
        <v>1135</v>
      </c>
      <c r="O35" s="45">
        <f t="shared" si="8"/>
        <v>2809</v>
      </c>
      <c r="P35" s="45">
        <f t="shared" si="8"/>
        <v>2015</v>
      </c>
      <c r="Q35" s="45">
        <f t="shared" si="8"/>
        <v>292</v>
      </c>
      <c r="R35" s="45">
        <f t="shared" si="8"/>
        <v>3983</v>
      </c>
      <c r="S35" s="45">
        <f t="shared" si="8"/>
        <v>237</v>
      </c>
      <c r="T35" s="45">
        <f t="shared" si="8"/>
        <v>618</v>
      </c>
      <c r="U35" s="50">
        <f t="shared" si="7"/>
        <v>33657</v>
      </c>
      <c r="V35" s="45">
        <f>SUM(B35:T35)-U35</f>
        <v>0</v>
      </c>
      <c r="W35" s="36"/>
      <c r="X35" s="45"/>
    </row>
    <row r="36" spans="1:24" ht="12">
      <c r="A36" s="28" t="s">
        <v>62</v>
      </c>
      <c r="B36" s="58">
        <f>B16-B26</f>
        <v>232</v>
      </c>
      <c r="C36" s="58"/>
      <c r="D36" s="58">
        <f aca="true" t="shared" si="9" ref="D36:T36">D16-D26</f>
        <v>22</v>
      </c>
      <c r="E36" s="58">
        <f t="shared" si="9"/>
        <v>928</v>
      </c>
      <c r="F36" s="58">
        <f t="shared" si="9"/>
        <v>1802</v>
      </c>
      <c r="G36" s="58">
        <f t="shared" si="9"/>
        <v>667</v>
      </c>
      <c r="H36" s="58">
        <f t="shared" si="9"/>
        <v>3361</v>
      </c>
      <c r="I36" s="58">
        <f t="shared" si="9"/>
        <v>816</v>
      </c>
      <c r="J36" s="58">
        <f t="shared" si="9"/>
        <v>3973</v>
      </c>
      <c r="K36" s="58">
        <f t="shared" si="9"/>
        <v>975</v>
      </c>
      <c r="L36" s="58">
        <f t="shared" si="9"/>
        <v>418</v>
      </c>
      <c r="M36" s="58">
        <f t="shared" si="9"/>
        <v>372</v>
      </c>
      <c r="N36" s="58">
        <f t="shared" si="9"/>
        <v>453</v>
      </c>
      <c r="O36" s="58">
        <f t="shared" si="9"/>
        <v>1913</v>
      </c>
      <c r="P36" s="58">
        <f t="shared" si="9"/>
        <v>985</v>
      </c>
      <c r="Q36" s="58">
        <f t="shared" si="9"/>
        <v>189</v>
      </c>
      <c r="R36" s="58">
        <f t="shared" si="9"/>
        <v>1969</v>
      </c>
      <c r="S36" s="58">
        <f t="shared" si="9"/>
        <v>142</v>
      </c>
      <c r="T36" s="58">
        <f t="shared" si="9"/>
        <v>249</v>
      </c>
      <c r="U36" s="38">
        <f t="shared" si="7"/>
        <v>19466</v>
      </c>
      <c r="V36" s="36">
        <f>+U37-U36-U35</f>
        <v>0</v>
      </c>
      <c r="W36" s="64"/>
      <c r="X36" s="41"/>
    </row>
    <row r="37" spans="1:24" s="72" customFormat="1" ht="12">
      <c r="A37" s="68" t="s">
        <v>63</v>
      </c>
      <c r="B37" s="69">
        <f aca="true" t="shared" si="10" ref="B37:T37">+B35+B36</f>
        <v>622</v>
      </c>
      <c r="C37" s="69">
        <f t="shared" si="10"/>
        <v>256</v>
      </c>
      <c r="D37" s="69">
        <f t="shared" si="10"/>
        <v>148</v>
      </c>
      <c r="E37" s="69">
        <f t="shared" si="10"/>
        <v>1622</v>
      </c>
      <c r="F37" s="69">
        <f t="shared" si="10"/>
        <v>5637</v>
      </c>
      <c r="G37" s="69">
        <f t="shared" si="10"/>
        <v>1974</v>
      </c>
      <c r="H37" s="69">
        <f t="shared" si="10"/>
        <v>6323</v>
      </c>
      <c r="I37" s="69">
        <f t="shared" si="10"/>
        <v>2491</v>
      </c>
      <c r="J37" s="69">
        <f t="shared" si="10"/>
        <v>10270</v>
      </c>
      <c r="K37" s="69">
        <f t="shared" si="10"/>
        <v>2815</v>
      </c>
      <c r="L37" s="69">
        <f t="shared" si="10"/>
        <v>3009</v>
      </c>
      <c r="M37" s="69">
        <f t="shared" si="10"/>
        <v>967</v>
      </c>
      <c r="N37" s="69">
        <f t="shared" si="10"/>
        <v>1588</v>
      </c>
      <c r="O37" s="69">
        <f t="shared" si="10"/>
        <v>4722</v>
      </c>
      <c r="P37" s="69">
        <f t="shared" si="10"/>
        <v>3000</v>
      </c>
      <c r="Q37" s="69">
        <f t="shared" si="10"/>
        <v>481</v>
      </c>
      <c r="R37" s="69">
        <f t="shared" si="10"/>
        <v>5952</v>
      </c>
      <c r="S37" s="69">
        <f t="shared" si="10"/>
        <v>379</v>
      </c>
      <c r="T37" s="69">
        <f t="shared" si="10"/>
        <v>867</v>
      </c>
      <c r="U37" s="70">
        <f t="shared" si="7"/>
        <v>53123</v>
      </c>
      <c r="V37" s="51">
        <f>+U37-U36-SUM(U29:U34)</f>
        <v>0</v>
      </c>
      <c r="W37" s="65"/>
      <c r="X37" s="71"/>
    </row>
    <row r="38" spans="1:24" ht="13.5" customHeight="1">
      <c r="A38" s="73" t="s">
        <v>92</v>
      </c>
      <c r="B38" s="74"/>
      <c r="C38" s="75"/>
      <c r="D38" s="74"/>
      <c r="E38" s="75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5"/>
      <c r="R38" s="74"/>
      <c r="S38" s="74"/>
      <c r="T38" s="74"/>
      <c r="U38" s="75"/>
      <c r="V38" s="76"/>
      <c r="W38" s="75"/>
      <c r="X38" s="75"/>
    </row>
    <row r="39" spans="1:24" ht="12">
      <c r="A39" s="73" t="s">
        <v>91</v>
      </c>
      <c r="B39" s="74"/>
      <c r="C39" s="75"/>
      <c r="D39" s="74"/>
      <c r="E39" s="75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5"/>
      <c r="R39" s="74"/>
      <c r="S39" s="74"/>
      <c r="T39" s="74"/>
      <c r="U39" s="75"/>
      <c r="V39" s="76"/>
      <c r="W39" s="75"/>
      <c r="X39" s="75"/>
    </row>
    <row r="40" spans="1:24" ht="12">
      <c r="A40" s="77" t="s">
        <v>66</v>
      </c>
      <c r="B40" s="78"/>
      <c r="C40" s="78"/>
      <c r="D40" s="78"/>
      <c r="E40" s="78"/>
      <c r="F40" s="78"/>
      <c r="G40" s="78"/>
      <c r="H40" s="77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/>
      <c r="W40" s="80"/>
      <c r="X40" s="80"/>
    </row>
    <row r="42" spans="1:24" ht="12">
      <c r="A42" s="81" t="s">
        <v>67</v>
      </c>
      <c r="B42" s="81"/>
      <c r="C42" s="83"/>
      <c r="D42" s="81"/>
      <c r="E42" s="83"/>
      <c r="F42" s="81"/>
      <c r="G42" s="81"/>
      <c r="H42" s="82"/>
      <c r="I42" s="81"/>
      <c r="J42" s="83"/>
      <c r="K42" s="83"/>
      <c r="L42" s="83"/>
      <c r="M42" s="83"/>
      <c r="N42" s="83"/>
      <c r="O42" s="81"/>
      <c r="P42" s="83"/>
      <c r="Q42" s="83"/>
      <c r="R42" s="82"/>
      <c r="S42" s="81"/>
      <c r="T42" s="81"/>
      <c r="U42" s="81"/>
      <c r="V42" s="21"/>
      <c r="W42" s="21"/>
      <c r="X42" s="21"/>
    </row>
    <row r="43" spans="1:24" ht="12">
      <c r="A43" s="84" t="s">
        <v>68</v>
      </c>
      <c r="B43" s="85">
        <v>472</v>
      </c>
      <c r="C43" s="87"/>
      <c r="D43" s="87">
        <v>81</v>
      </c>
      <c r="E43" s="87">
        <v>437</v>
      </c>
      <c r="F43" s="85">
        <v>2249</v>
      </c>
      <c r="G43" s="85">
        <v>532</v>
      </c>
      <c r="H43" s="84">
        <v>2126</v>
      </c>
      <c r="I43" s="85">
        <v>1941</v>
      </c>
      <c r="J43" s="86">
        <v>2696</v>
      </c>
      <c r="K43" s="87">
        <v>675</v>
      </c>
      <c r="L43" s="86">
        <v>414</v>
      </c>
      <c r="M43" s="86">
        <v>186</v>
      </c>
      <c r="N43" s="87">
        <v>318</v>
      </c>
      <c r="O43" s="85">
        <v>1160</v>
      </c>
      <c r="P43" s="86">
        <v>1512</v>
      </c>
      <c r="Q43" s="87"/>
      <c r="R43" s="85">
        <v>1929</v>
      </c>
      <c r="S43" s="85">
        <v>210</v>
      </c>
      <c r="T43" s="85">
        <v>177</v>
      </c>
      <c r="U43" s="88">
        <v>17115</v>
      </c>
      <c r="V43" s="2"/>
      <c r="W43" s="2"/>
      <c r="X43" s="2"/>
    </row>
    <row r="44" spans="1:24" ht="12">
      <c r="A44" s="89" t="s">
        <v>69</v>
      </c>
      <c r="B44" s="39">
        <v>286</v>
      </c>
      <c r="C44" s="87"/>
      <c r="D44" s="87">
        <v>88</v>
      </c>
      <c r="E44" s="87">
        <v>359</v>
      </c>
      <c r="F44" s="39">
        <v>1743</v>
      </c>
      <c r="G44" s="39">
        <v>397</v>
      </c>
      <c r="H44" s="89">
        <v>1741</v>
      </c>
      <c r="I44" s="39">
        <v>1764</v>
      </c>
      <c r="J44" s="39">
        <v>2350</v>
      </c>
      <c r="K44" s="87">
        <v>508</v>
      </c>
      <c r="L44" s="39">
        <v>351</v>
      </c>
      <c r="M44" s="39">
        <v>224</v>
      </c>
      <c r="N44" s="87">
        <v>340</v>
      </c>
      <c r="O44" s="39">
        <v>809</v>
      </c>
      <c r="P44" s="39">
        <v>1308</v>
      </c>
      <c r="Q44" s="87"/>
      <c r="R44" s="39">
        <v>1413</v>
      </c>
      <c r="S44" s="39">
        <v>155</v>
      </c>
      <c r="T44" s="39"/>
      <c r="U44" s="88">
        <v>13836</v>
      </c>
      <c r="V44" s="39"/>
      <c r="W44" s="39"/>
      <c r="X44" s="39"/>
    </row>
    <row r="45" spans="1:24" ht="12">
      <c r="A45" s="89" t="s">
        <v>70</v>
      </c>
      <c r="B45" s="39">
        <v>207</v>
      </c>
      <c r="C45" s="87"/>
      <c r="D45" s="87">
        <v>99</v>
      </c>
      <c r="E45" s="87">
        <v>264</v>
      </c>
      <c r="F45" s="39">
        <v>1747</v>
      </c>
      <c r="G45" s="39">
        <v>418</v>
      </c>
      <c r="H45" s="89">
        <v>1837</v>
      </c>
      <c r="I45" s="39">
        <v>1437</v>
      </c>
      <c r="J45" s="39">
        <v>2317</v>
      </c>
      <c r="K45" s="87"/>
      <c r="L45" s="39">
        <v>352</v>
      </c>
      <c r="M45" s="39">
        <v>251</v>
      </c>
      <c r="N45" s="87">
        <v>330</v>
      </c>
      <c r="O45" s="39">
        <v>773</v>
      </c>
      <c r="P45" s="39">
        <v>1108</v>
      </c>
      <c r="Q45" s="87"/>
      <c r="R45" s="39">
        <v>1449</v>
      </c>
      <c r="S45" s="39">
        <v>203</v>
      </c>
      <c r="T45" s="39">
        <v>134</v>
      </c>
      <c r="U45" s="88">
        <v>12926</v>
      </c>
      <c r="V45" s="39"/>
      <c r="W45" s="39"/>
      <c r="X45" s="39"/>
    </row>
    <row r="46" spans="1:24" ht="12">
      <c r="A46" s="89" t="s">
        <v>71</v>
      </c>
      <c r="B46" s="39">
        <v>207</v>
      </c>
      <c r="C46" s="87"/>
      <c r="D46" s="87">
        <v>101</v>
      </c>
      <c r="E46" s="87">
        <v>212</v>
      </c>
      <c r="F46" s="39">
        <v>1612</v>
      </c>
      <c r="G46" s="39">
        <v>421</v>
      </c>
      <c r="H46" s="89">
        <v>2138</v>
      </c>
      <c r="I46" s="39">
        <v>1275</v>
      </c>
      <c r="J46" s="39">
        <v>2131</v>
      </c>
      <c r="K46" s="87"/>
      <c r="L46" s="39">
        <v>363</v>
      </c>
      <c r="M46" s="39">
        <v>221</v>
      </c>
      <c r="N46" s="87">
        <v>605</v>
      </c>
      <c r="O46" s="39">
        <v>557</v>
      </c>
      <c r="P46" s="39">
        <v>985</v>
      </c>
      <c r="Q46" s="87"/>
      <c r="R46" s="39">
        <v>1322</v>
      </c>
      <c r="S46" s="39">
        <v>174</v>
      </c>
      <c r="T46" s="39">
        <v>156</v>
      </c>
      <c r="U46" s="88">
        <v>12480</v>
      </c>
      <c r="V46" s="39"/>
      <c r="W46" s="39"/>
      <c r="X46" s="39"/>
    </row>
    <row r="47" spans="1:24" ht="12">
      <c r="A47" s="89" t="s">
        <v>72</v>
      </c>
      <c r="B47" s="39">
        <v>163</v>
      </c>
      <c r="C47" s="87"/>
      <c r="D47" s="87">
        <v>114</v>
      </c>
      <c r="E47" s="87"/>
      <c r="F47" s="39"/>
      <c r="G47" s="39">
        <v>309</v>
      </c>
      <c r="H47" s="89"/>
      <c r="I47" s="39">
        <v>1117</v>
      </c>
      <c r="J47" s="39">
        <v>0</v>
      </c>
      <c r="K47" s="87"/>
      <c r="L47" s="39">
        <v>325</v>
      </c>
      <c r="M47" s="39">
        <v>205</v>
      </c>
      <c r="N47" s="87">
        <v>592</v>
      </c>
      <c r="O47" s="39">
        <v>0</v>
      </c>
      <c r="P47" s="39">
        <v>294</v>
      </c>
      <c r="Q47" s="87"/>
      <c r="R47" s="39"/>
      <c r="S47" s="39"/>
      <c r="T47" s="39">
        <v>0</v>
      </c>
      <c r="U47" s="88">
        <v>3119</v>
      </c>
      <c r="V47" s="39"/>
      <c r="W47" s="39"/>
      <c r="X47" s="39"/>
    </row>
    <row r="48" spans="1:24" ht="12">
      <c r="A48" s="89" t="s">
        <v>73</v>
      </c>
      <c r="B48" s="39">
        <v>0</v>
      </c>
      <c r="C48" s="87"/>
      <c r="D48" s="39">
        <v>0</v>
      </c>
      <c r="E48" s="87"/>
      <c r="F48" s="39"/>
      <c r="G48" s="39">
        <v>0</v>
      </c>
      <c r="H48" s="89"/>
      <c r="I48" s="39">
        <v>0</v>
      </c>
      <c r="J48" s="39">
        <v>0</v>
      </c>
      <c r="K48" s="87"/>
      <c r="L48" s="39">
        <v>360</v>
      </c>
      <c r="M48" s="39">
        <v>0</v>
      </c>
      <c r="N48" s="87"/>
      <c r="O48" s="39">
        <v>0</v>
      </c>
      <c r="P48" s="39">
        <v>0</v>
      </c>
      <c r="Q48" s="87"/>
      <c r="R48" s="39"/>
      <c r="S48" s="39"/>
      <c r="T48" s="39">
        <v>0</v>
      </c>
      <c r="U48" s="88">
        <v>360</v>
      </c>
      <c r="V48" s="39"/>
      <c r="W48" s="39"/>
      <c r="X48" s="39"/>
    </row>
    <row r="49" spans="1:24" ht="12">
      <c r="A49" s="90" t="s">
        <v>74</v>
      </c>
      <c r="B49" s="51">
        <v>1335</v>
      </c>
      <c r="C49" s="51"/>
      <c r="D49" s="51">
        <v>483</v>
      </c>
      <c r="E49" s="51">
        <v>1272</v>
      </c>
      <c r="F49" s="51">
        <v>7351</v>
      </c>
      <c r="G49" s="51">
        <v>2077</v>
      </c>
      <c r="H49" s="51">
        <v>7842</v>
      </c>
      <c r="I49" s="51">
        <v>7534</v>
      </c>
      <c r="J49" s="51">
        <v>9494</v>
      </c>
      <c r="K49" s="51">
        <v>1183</v>
      </c>
      <c r="L49" s="51">
        <v>2165</v>
      </c>
      <c r="M49" s="51">
        <v>1087</v>
      </c>
      <c r="N49" s="51">
        <v>2185</v>
      </c>
      <c r="O49" s="51">
        <v>3299</v>
      </c>
      <c r="P49" s="51">
        <v>5207</v>
      </c>
      <c r="Q49" s="51"/>
      <c r="R49" s="51">
        <v>6113</v>
      </c>
      <c r="S49" s="51">
        <v>742</v>
      </c>
      <c r="T49" s="51">
        <v>467</v>
      </c>
      <c r="U49" s="88">
        <v>59836</v>
      </c>
      <c r="V49" s="51">
        <v>59836</v>
      </c>
      <c r="W49" s="51"/>
      <c r="X49" s="51"/>
    </row>
    <row r="50" spans="1:24" ht="12">
      <c r="A50" s="87" t="s">
        <v>75</v>
      </c>
      <c r="B50" s="91">
        <v>760</v>
      </c>
      <c r="C50" s="87"/>
      <c r="D50" s="91">
        <v>169</v>
      </c>
      <c r="E50" s="87">
        <v>103</v>
      </c>
      <c r="F50" s="91">
        <v>5344</v>
      </c>
      <c r="G50" s="91">
        <v>705</v>
      </c>
      <c r="H50" s="91">
        <v>7389</v>
      </c>
      <c r="I50" s="91">
        <v>5275</v>
      </c>
      <c r="J50" s="91">
        <v>6902</v>
      </c>
      <c r="K50" s="87">
        <v>1</v>
      </c>
      <c r="L50" s="91">
        <v>1222</v>
      </c>
      <c r="M50" s="91">
        <v>559</v>
      </c>
      <c r="N50" s="87">
        <v>552</v>
      </c>
      <c r="O50" s="91">
        <v>1968</v>
      </c>
      <c r="P50" s="39">
        <v>2527</v>
      </c>
      <c r="Q50" s="87"/>
      <c r="R50" s="91">
        <v>3786</v>
      </c>
      <c r="S50" s="91">
        <v>458</v>
      </c>
      <c r="T50" s="91">
        <v>247</v>
      </c>
      <c r="U50" s="92">
        <v>37967</v>
      </c>
      <c r="V50" s="39"/>
      <c r="W50" s="39"/>
      <c r="X50" s="39"/>
    </row>
    <row r="51" spans="1:24" ht="12">
      <c r="A51" s="93" t="s">
        <v>76</v>
      </c>
      <c r="B51" s="94">
        <v>2095</v>
      </c>
      <c r="C51" s="94"/>
      <c r="D51" s="94">
        <v>652</v>
      </c>
      <c r="E51" s="94">
        <v>1375</v>
      </c>
      <c r="F51" s="94">
        <v>12695</v>
      </c>
      <c r="G51" s="94">
        <v>2782</v>
      </c>
      <c r="H51" s="94">
        <v>15231</v>
      </c>
      <c r="I51" s="94">
        <v>12809</v>
      </c>
      <c r="J51" s="94">
        <v>16396</v>
      </c>
      <c r="K51" s="94">
        <v>1184</v>
      </c>
      <c r="L51" s="94">
        <v>3387</v>
      </c>
      <c r="M51" s="94">
        <v>1646</v>
      </c>
      <c r="N51" s="94">
        <v>2737</v>
      </c>
      <c r="O51" s="94">
        <v>5267</v>
      </c>
      <c r="P51" s="94">
        <v>7734</v>
      </c>
      <c r="Q51" s="94"/>
      <c r="R51" s="94">
        <v>9899</v>
      </c>
      <c r="S51" s="94">
        <v>1200</v>
      </c>
      <c r="T51" s="94">
        <v>714</v>
      </c>
      <c r="U51" s="88">
        <v>97803</v>
      </c>
      <c r="V51" s="94"/>
      <c r="W51" s="94"/>
      <c r="X51" s="94"/>
    </row>
    <row r="52" spans="1:24" ht="12">
      <c r="A52" s="95" t="s">
        <v>64</v>
      </c>
      <c r="B52" s="95"/>
      <c r="C52" s="87"/>
      <c r="D52" s="95"/>
      <c r="E52" s="87"/>
      <c r="F52" s="95"/>
      <c r="G52" s="95"/>
      <c r="H52" s="82"/>
      <c r="I52" s="95"/>
      <c r="J52" s="95"/>
      <c r="K52" s="87"/>
      <c r="L52" s="95"/>
      <c r="M52" s="95"/>
      <c r="N52" s="87"/>
      <c r="O52" s="95"/>
      <c r="P52" s="95"/>
      <c r="Q52" s="87"/>
      <c r="R52" s="82"/>
      <c r="S52" s="95"/>
      <c r="T52" s="95"/>
      <c r="U52" s="95"/>
      <c r="V52" s="56"/>
      <c r="W52" s="56"/>
      <c r="X52" s="56"/>
    </row>
    <row r="53" spans="1:24" ht="12">
      <c r="A53" s="84" t="s">
        <v>68</v>
      </c>
      <c r="B53" s="96">
        <v>273</v>
      </c>
      <c r="C53" s="96"/>
      <c r="D53" s="96">
        <v>49</v>
      </c>
      <c r="E53" s="96">
        <v>116</v>
      </c>
      <c r="F53" s="96">
        <v>1225</v>
      </c>
      <c r="G53" s="96">
        <v>168</v>
      </c>
      <c r="H53" s="96">
        <v>923</v>
      </c>
      <c r="I53" s="96">
        <v>1603</v>
      </c>
      <c r="J53" s="96">
        <v>1122</v>
      </c>
      <c r="K53" s="96">
        <v>94</v>
      </c>
      <c r="L53" s="96">
        <v>177</v>
      </c>
      <c r="M53" s="96">
        <v>70</v>
      </c>
      <c r="N53" s="96">
        <v>72</v>
      </c>
      <c r="O53" s="96">
        <v>170</v>
      </c>
      <c r="P53" s="96">
        <v>872</v>
      </c>
      <c r="Q53" s="96"/>
      <c r="R53" s="96">
        <v>881</v>
      </c>
      <c r="S53" s="96">
        <v>106</v>
      </c>
      <c r="T53" s="96">
        <v>19</v>
      </c>
      <c r="U53" s="88">
        <v>7940</v>
      </c>
      <c r="V53" s="39"/>
      <c r="W53" s="39"/>
      <c r="X53" s="39"/>
    </row>
    <row r="54" spans="1:24" ht="12">
      <c r="A54" s="89" t="s">
        <v>69</v>
      </c>
      <c r="B54" s="96">
        <v>182</v>
      </c>
      <c r="C54" s="96"/>
      <c r="D54" s="96">
        <v>58</v>
      </c>
      <c r="E54" s="96">
        <v>74</v>
      </c>
      <c r="F54" s="96">
        <v>899</v>
      </c>
      <c r="G54" s="96">
        <v>112</v>
      </c>
      <c r="H54" s="96">
        <v>762</v>
      </c>
      <c r="I54" s="96">
        <v>1429</v>
      </c>
      <c r="J54" s="96">
        <v>987</v>
      </c>
      <c r="K54" s="96">
        <v>70</v>
      </c>
      <c r="L54" s="96">
        <v>143</v>
      </c>
      <c r="M54" s="96">
        <v>92</v>
      </c>
      <c r="N54" s="96">
        <v>67</v>
      </c>
      <c r="O54" s="96">
        <v>103</v>
      </c>
      <c r="P54" s="96">
        <v>714</v>
      </c>
      <c r="Q54" s="96"/>
      <c r="R54" s="96">
        <v>706</v>
      </c>
      <c r="S54" s="96">
        <v>89</v>
      </c>
      <c r="T54" s="96">
        <v>0</v>
      </c>
      <c r="U54" s="88">
        <v>6487</v>
      </c>
      <c r="V54" s="39"/>
      <c r="W54" s="39"/>
      <c r="X54" s="39"/>
    </row>
    <row r="55" spans="1:24" ht="12">
      <c r="A55" s="89" t="s">
        <v>70</v>
      </c>
      <c r="B55" s="96">
        <v>142</v>
      </c>
      <c r="C55" s="96"/>
      <c r="D55" s="96">
        <v>71</v>
      </c>
      <c r="E55" s="96">
        <v>51</v>
      </c>
      <c r="F55" s="96">
        <v>938</v>
      </c>
      <c r="G55" s="96">
        <v>128</v>
      </c>
      <c r="H55" s="96">
        <v>831</v>
      </c>
      <c r="I55" s="96">
        <v>1196</v>
      </c>
      <c r="J55" s="96">
        <v>855</v>
      </c>
      <c r="K55" s="96">
        <v>0</v>
      </c>
      <c r="L55" s="96">
        <v>149</v>
      </c>
      <c r="M55" s="96">
        <v>100</v>
      </c>
      <c r="N55" s="96">
        <v>64</v>
      </c>
      <c r="O55" s="96">
        <v>93</v>
      </c>
      <c r="P55" s="96">
        <v>575</v>
      </c>
      <c r="Q55" s="96"/>
      <c r="R55" s="96">
        <v>696</v>
      </c>
      <c r="S55" s="96">
        <v>102</v>
      </c>
      <c r="T55" s="96">
        <v>18</v>
      </c>
      <c r="U55" s="88">
        <v>6009</v>
      </c>
      <c r="V55" s="39"/>
      <c r="W55" s="39"/>
      <c r="X55" s="39"/>
    </row>
    <row r="56" spans="1:24" ht="12">
      <c r="A56" s="89" t="s">
        <v>71</v>
      </c>
      <c r="B56" s="96">
        <v>130</v>
      </c>
      <c r="C56" s="96"/>
      <c r="D56" s="96">
        <v>65</v>
      </c>
      <c r="E56" s="96">
        <v>52</v>
      </c>
      <c r="F56" s="96">
        <v>864</v>
      </c>
      <c r="G56" s="96">
        <v>150</v>
      </c>
      <c r="H56" s="96">
        <v>914</v>
      </c>
      <c r="I56" s="96">
        <v>1089</v>
      </c>
      <c r="J56" s="96">
        <v>681</v>
      </c>
      <c r="K56" s="96">
        <v>0</v>
      </c>
      <c r="L56" s="96">
        <v>154</v>
      </c>
      <c r="M56" s="96">
        <v>86</v>
      </c>
      <c r="N56" s="96">
        <v>113</v>
      </c>
      <c r="O56" s="96">
        <v>61</v>
      </c>
      <c r="P56" s="96">
        <v>525</v>
      </c>
      <c r="Q56" s="96"/>
      <c r="R56" s="96">
        <v>621</v>
      </c>
      <c r="S56" s="96">
        <v>66</v>
      </c>
      <c r="T56" s="96">
        <v>19</v>
      </c>
      <c r="U56" s="88">
        <v>5590</v>
      </c>
      <c r="V56" s="42"/>
      <c r="W56" s="42"/>
      <c r="X56" s="42"/>
    </row>
    <row r="57" spans="1:24" ht="12">
      <c r="A57" s="89" t="s">
        <v>72</v>
      </c>
      <c r="B57" s="96">
        <v>126</v>
      </c>
      <c r="C57" s="96"/>
      <c r="D57" s="96">
        <v>65</v>
      </c>
      <c r="E57" s="96">
        <v>0</v>
      </c>
      <c r="F57" s="96">
        <v>0</v>
      </c>
      <c r="G57" s="96">
        <v>76</v>
      </c>
      <c r="H57" s="96">
        <v>0</v>
      </c>
      <c r="I57" s="96">
        <v>941</v>
      </c>
      <c r="J57" s="96">
        <v>0</v>
      </c>
      <c r="K57" s="96">
        <v>0</v>
      </c>
      <c r="L57" s="96">
        <v>145</v>
      </c>
      <c r="M57" s="96">
        <v>88</v>
      </c>
      <c r="N57" s="96">
        <v>108</v>
      </c>
      <c r="O57" s="96">
        <v>0</v>
      </c>
      <c r="P57" s="96">
        <v>121</v>
      </c>
      <c r="Q57" s="96"/>
      <c r="R57" s="96">
        <v>0</v>
      </c>
      <c r="S57" s="96">
        <v>0</v>
      </c>
      <c r="T57" s="96">
        <v>0</v>
      </c>
      <c r="U57" s="88">
        <v>1670</v>
      </c>
      <c r="V57" s="42"/>
      <c r="W57" s="42"/>
      <c r="X57" s="42"/>
    </row>
    <row r="58" spans="1:24" ht="12">
      <c r="A58" s="89" t="s">
        <v>73</v>
      </c>
      <c r="B58" s="96">
        <v>0</v>
      </c>
      <c r="C58" s="96"/>
      <c r="D58" s="96">
        <v>0</v>
      </c>
      <c r="E58" s="96">
        <v>0</v>
      </c>
      <c r="F58" s="96">
        <v>0</v>
      </c>
      <c r="G58" s="96">
        <v>0</v>
      </c>
      <c r="H58" s="96">
        <v>0</v>
      </c>
      <c r="I58" s="96">
        <v>0</v>
      </c>
      <c r="J58" s="96">
        <v>0</v>
      </c>
      <c r="K58" s="96">
        <v>0</v>
      </c>
      <c r="L58" s="96">
        <v>185</v>
      </c>
      <c r="M58" s="96">
        <v>0</v>
      </c>
      <c r="N58" s="96">
        <v>0</v>
      </c>
      <c r="O58" s="96">
        <v>0</v>
      </c>
      <c r="P58" s="96">
        <v>0</v>
      </c>
      <c r="Q58" s="96"/>
      <c r="R58" s="96">
        <v>0</v>
      </c>
      <c r="S58" s="96">
        <v>0</v>
      </c>
      <c r="T58" s="96">
        <v>0</v>
      </c>
      <c r="U58" s="88">
        <v>185</v>
      </c>
      <c r="V58" s="43"/>
      <c r="W58" s="43"/>
      <c r="X58" s="43"/>
    </row>
    <row r="59" spans="1:24" ht="12">
      <c r="A59" s="90" t="s">
        <v>74</v>
      </c>
      <c r="B59" s="97">
        <v>853</v>
      </c>
      <c r="C59" s="97"/>
      <c r="D59" s="97">
        <v>308</v>
      </c>
      <c r="E59" s="97">
        <v>293</v>
      </c>
      <c r="F59" s="97">
        <v>3926</v>
      </c>
      <c r="G59" s="97">
        <v>634</v>
      </c>
      <c r="H59" s="97">
        <v>3430</v>
      </c>
      <c r="I59" s="97">
        <v>6258</v>
      </c>
      <c r="J59" s="97">
        <v>3645</v>
      </c>
      <c r="K59" s="97">
        <v>164</v>
      </c>
      <c r="L59" s="97">
        <v>953</v>
      </c>
      <c r="M59" s="97">
        <v>436</v>
      </c>
      <c r="N59" s="97">
        <v>424</v>
      </c>
      <c r="O59" s="97">
        <v>427</v>
      </c>
      <c r="P59" s="97">
        <v>2807</v>
      </c>
      <c r="Q59" s="97"/>
      <c r="R59" s="97">
        <v>2904</v>
      </c>
      <c r="S59" s="97">
        <v>363</v>
      </c>
      <c r="T59" s="97">
        <v>56</v>
      </c>
      <c r="U59" s="88">
        <v>27881</v>
      </c>
      <c r="V59" s="51">
        <v>27881</v>
      </c>
      <c r="W59" s="98">
        <v>0</v>
      </c>
      <c r="X59" s="99"/>
    </row>
    <row r="60" spans="1:24" ht="12">
      <c r="A60" s="87" t="s">
        <v>75</v>
      </c>
      <c r="B60" s="92">
        <v>609</v>
      </c>
      <c r="C60" s="92"/>
      <c r="D60" s="92">
        <v>102</v>
      </c>
      <c r="E60" s="92">
        <v>17</v>
      </c>
      <c r="F60" s="92">
        <v>3102</v>
      </c>
      <c r="G60" s="92">
        <v>223</v>
      </c>
      <c r="H60" s="92">
        <v>3276</v>
      </c>
      <c r="I60" s="92">
        <v>4659</v>
      </c>
      <c r="J60" s="92">
        <v>2263</v>
      </c>
      <c r="K60" s="92">
        <v>0</v>
      </c>
      <c r="L60" s="92">
        <v>664</v>
      </c>
      <c r="M60" s="92">
        <v>246</v>
      </c>
      <c r="N60" s="92">
        <v>135</v>
      </c>
      <c r="O60" s="92">
        <v>205</v>
      </c>
      <c r="P60" s="92">
        <v>1434</v>
      </c>
      <c r="Q60" s="92"/>
      <c r="R60" s="92">
        <v>1777</v>
      </c>
      <c r="S60" s="92">
        <v>226</v>
      </c>
      <c r="T60" s="92">
        <v>10</v>
      </c>
      <c r="U60" s="88">
        <v>18948</v>
      </c>
      <c r="V60" s="51"/>
      <c r="W60" s="79">
        <v>46829</v>
      </c>
      <c r="X60" s="100"/>
    </row>
    <row r="61" spans="1:24" ht="12">
      <c r="A61" s="93" t="s">
        <v>76</v>
      </c>
      <c r="B61" s="97">
        <v>1462</v>
      </c>
      <c r="C61" s="97"/>
      <c r="D61" s="97">
        <v>410</v>
      </c>
      <c r="E61" s="97">
        <v>310</v>
      </c>
      <c r="F61" s="97">
        <v>7028</v>
      </c>
      <c r="G61" s="97">
        <v>857</v>
      </c>
      <c r="H61" s="97">
        <v>6706</v>
      </c>
      <c r="I61" s="97">
        <v>10917</v>
      </c>
      <c r="J61" s="97">
        <v>5908</v>
      </c>
      <c r="K61" s="97">
        <v>164</v>
      </c>
      <c r="L61" s="97">
        <v>1617</v>
      </c>
      <c r="M61" s="97">
        <v>682</v>
      </c>
      <c r="N61" s="97">
        <v>559</v>
      </c>
      <c r="O61" s="97">
        <v>632</v>
      </c>
      <c r="P61" s="97">
        <v>4241</v>
      </c>
      <c r="Q61" s="97"/>
      <c r="R61" s="97">
        <v>4681</v>
      </c>
      <c r="S61" s="97">
        <v>589</v>
      </c>
      <c r="T61" s="97">
        <v>66</v>
      </c>
      <c r="U61" s="88">
        <v>46829</v>
      </c>
      <c r="V61" s="51">
        <v>46829</v>
      </c>
      <c r="W61" s="94">
        <v>0</v>
      </c>
      <c r="X61" s="94"/>
    </row>
    <row r="62" spans="1:24" ht="12">
      <c r="A62" s="101" t="s">
        <v>65</v>
      </c>
      <c r="B62" s="101"/>
      <c r="C62" s="87"/>
      <c r="D62" s="101"/>
      <c r="E62" s="87"/>
      <c r="F62" s="101"/>
      <c r="G62" s="101"/>
      <c r="H62" s="82"/>
      <c r="I62" s="101"/>
      <c r="J62" s="101"/>
      <c r="K62" s="87"/>
      <c r="L62" s="101"/>
      <c r="M62" s="101"/>
      <c r="N62" s="87"/>
      <c r="O62" s="101"/>
      <c r="P62" s="101"/>
      <c r="Q62" s="87"/>
      <c r="R62" s="82"/>
      <c r="S62" s="101"/>
      <c r="T62" s="101"/>
      <c r="U62" s="102"/>
      <c r="V62" s="56"/>
      <c r="W62" s="56"/>
      <c r="X62" s="56"/>
    </row>
    <row r="63" spans="1:24" ht="12">
      <c r="A63" s="89" t="s">
        <v>68</v>
      </c>
      <c r="B63" s="39">
        <v>199</v>
      </c>
      <c r="C63" s="87"/>
      <c r="D63" s="87">
        <v>32</v>
      </c>
      <c r="E63" s="87">
        <v>321</v>
      </c>
      <c r="F63" s="39">
        <v>1024</v>
      </c>
      <c r="G63" s="39">
        <v>364</v>
      </c>
      <c r="H63" s="39">
        <v>1203</v>
      </c>
      <c r="I63" s="39">
        <v>338</v>
      </c>
      <c r="J63" s="39">
        <v>1574</v>
      </c>
      <c r="K63" s="87">
        <v>581</v>
      </c>
      <c r="L63" s="39">
        <v>237</v>
      </c>
      <c r="M63" s="39">
        <v>116</v>
      </c>
      <c r="N63" s="87">
        <v>246</v>
      </c>
      <c r="O63" s="39">
        <v>990</v>
      </c>
      <c r="P63" s="39">
        <v>640</v>
      </c>
      <c r="Q63" s="87"/>
      <c r="R63" s="39">
        <v>1048</v>
      </c>
      <c r="S63" s="39">
        <v>104</v>
      </c>
      <c r="T63" s="39">
        <v>158</v>
      </c>
      <c r="U63" s="88">
        <v>9175</v>
      </c>
      <c r="V63" s="39"/>
      <c r="W63" s="39"/>
      <c r="X63" s="39"/>
    </row>
    <row r="64" spans="1:24" ht="12">
      <c r="A64" s="89" t="s">
        <v>69</v>
      </c>
      <c r="B64" s="39">
        <v>104</v>
      </c>
      <c r="C64" s="87"/>
      <c r="D64" s="87">
        <v>30</v>
      </c>
      <c r="E64" s="87">
        <v>285</v>
      </c>
      <c r="F64" s="39">
        <v>844</v>
      </c>
      <c r="G64" s="39">
        <v>285</v>
      </c>
      <c r="H64" s="39">
        <v>979</v>
      </c>
      <c r="I64" s="39">
        <v>335</v>
      </c>
      <c r="J64" s="39">
        <v>1363</v>
      </c>
      <c r="K64" s="87">
        <v>438</v>
      </c>
      <c r="L64" s="39">
        <v>208</v>
      </c>
      <c r="M64" s="39">
        <v>132</v>
      </c>
      <c r="N64" s="87">
        <v>273</v>
      </c>
      <c r="O64" s="39">
        <v>706</v>
      </c>
      <c r="P64" s="39">
        <v>594</v>
      </c>
      <c r="Q64" s="87"/>
      <c r="R64" s="39">
        <v>707</v>
      </c>
      <c r="S64" s="39">
        <v>66</v>
      </c>
      <c r="T64" s="39"/>
      <c r="U64" s="88">
        <v>7349</v>
      </c>
      <c r="V64" s="39"/>
      <c r="W64" s="39"/>
      <c r="X64" s="39"/>
    </row>
    <row r="65" spans="1:24" ht="12">
      <c r="A65" s="89" t="s">
        <v>70</v>
      </c>
      <c r="B65" s="39">
        <v>65</v>
      </c>
      <c r="C65" s="87"/>
      <c r="D65" s="87">
        <v>28</v>
      </c>
      <c r="E65" s="87">
        <v>213</v>
      </c>
      <c r="F65" s="39">
        <v>809</v>
      </c>
      <c r="G65" s="39">
        <v>290</v>
      </c>
      <c r="H65" s="39">
        <v>1006</v>
      </c>
      <c r="I65" s="39">
        <v>241</v>
      </c>
      <c r="J65" s="39">
        <v>1462</v>
      </c>
      <c r="K65" s="87"/>
      <c r="L65" s="39">
        <v>203</v>
      </c>
      <c r="M65" s="39">
        <v>151</v>
      </c>
      <c r="N65" s="87">
        <v>266</v>
      </c>
      <c r="O65" s="39">
        <v>680</v>
      </c>
      <c r="P65" s="39">
        <v>533</v>
      </c>
      <c r="Q65" s="87"/>
      <c r="R65" s="39">
        <v>753</v>
      </c>
      <c r="S65" s="39">
        <v>101</v>
      </c>
      <c r="T65" s="39">
        <v>116</v>
      </c>
      <c r="U65" s="88">
        <v>6917</v>
      </c>
      <c r="V65" s="39"/>
      <c r="W65" s="39"/>
      <c r="X65" s="39"/>
    </row>
    <row r="66" spans="1:24" ht="12">
      <c r="A66" s="89" t="s">
        <v>71</v>
      </c>
      <c r="B66" s="39">
        <v>77</v>
      </c>
      <c r="C66" s="87"/>
      <c r="D66" s="87">
        <v>36</v>
      </c>
      <c r="E66" s="87">
        <v>160</v>
      </c>
      <c r="F66" s="39">
        <v>748</v>
      </c>
      <c r="G66" s="39">
        <v>271</v>
      </c>
      <c r="H66" s="39">
        <v>1224</v>
      </c>
      <c r="I66" s="39">
        <v>186</v>
      </c>
      <c r="J66" s="39">
        <v>1450</v>
      </c>
      <c r="K66" s="87"/>
      <c r="L66" s="39">
        <v>209</v>
      </c>
      <c r="M66" s="39">
        <v>135</v>
      </c>
      <c r="N66" s="87">
        <v>492</v>
      </c>
      <c r="O66" s="39">
        <v>496</v>
      </c>
      <c r="P66" s="39">
        <v>460</v>
      </c>
      <c r="Q66" s="87"/>
      <c r="R66" s="39">
        <v>701</v>
      </c>
      <c r="S66" s="39">
        <v>108</v>
      </c>
      <c r="T66" s="39">
        <v>137</v>
      </c>
      <c r="U66" s="88">
        <v>6890</v>
      </c>
      <c r="V66" s="39"/>
      <c r="W66" s="39"/>
      <c r="X66" s="39"/>
    </row>
    <row r="67" spans="1:24" ht="12">
      <c r="A67" s="89" t="s">
        <v>72</v>
      </c>
      <c r="B67" s="39">
        <v>37</v>
      </c>
      <c r="C67" s="87"/>
      <c r="D67" s="87">
        <v>49</v>
      </c>
      <c r="E67" s="87"/>
      <c r="F67" s="39"/>
      <c r="G67" s="39">
        <v>233</v>
      </c>
      <c r="H67" s="39"/>
      <c r="I67" s="39">
        <v>176</v>
      </c>
      <c r="J67" s="87"/>
      <c r="K67" s="87"/>
      <c r="L67" s="39">
        <v>180</v>
      </c>
      <c r="M67" s="39">
        <v>117</v>
      </c>
      <c r="N67" s="87">
        <v>484</v>
      </c>
      <c r="O67" s="39"/>
      <c r="P67" s="39">
        <v>173</v>
      </c>
      <c r="Q67" s="87"/>
      <c r="R67" s="39"/>
      <c r="S67" s="39"/>
      <c r="T67" s="39"/>
      <c r="U67" s="88">
        <v>1449</v>
      </c>
      <c r="V67" s="39"/>
      <c r="W67" s="39"/>
      <c r="X67" s="39"/>
    </row>
    <row r="68" spans="1:24" ht="12">
      <c r="A68" s="89" t="s">
        <v>73</v>
      </c>
      <c r="B68" s="39"/>
      <c r="C68" s="87"/>
      <c r="D68" s="39"/>
      <c r="E68" s="87"/>
      <c r="F68" s="39"/>
      <c r="G68" s="39"/>
      <c r="H68" s="39"/>
      <c r="I68" s="39"/>
      <c r="J68" s="39"/>
      <c r="K68" s="87"/>
      <c r="L68" s="39">
        <v>175</v>
      </c>
      <c r="M68" s="39"/>
      <c r="N68" s="87"/>
      <c r="O68" s="39"/>
      <c r="P68" s="39"/>
      <c r="Q68" s="87"/>
      <c r="R68" s="39"/>
      <c r="S68" s="39"/>
      <c r="T68" s="39"/>
      <c r="U68" s="88">
        <v>175</v>
      </c>
      <c r="V68" s="39"/>
      <c r="W68" s="39"/>
      <c r="X68" s="39"/>
    </row>
    <row r="69" spans="1:24" ht="12">
      <c r="A69" s="90" t="s">
        <v>74</v>
      </c>
      <c r="B69" s="51">
        <v>482</v>
      </c>
      <c r="C69" s="51"/>
      <c r="D69" s="51">
        <v>175</v>
      </c>
      <c r="E69" s="51">
        <v>979</v>
      </c>
      <c r="F69" s="51">
        <v>3425</v>
      </c>
      <c r="G69" s="51">
        <v>1443</v>
      </c>
      <c r="H69" s="51">
        <v>4412</v>
      </c>
      <c r="I69" s="51">
        <v>1276</v>
      </c>
      <c r="J69" s="51">
        <v>5849</v>
      </c>
      <c r="K69" s="51">
        <v>1019</v>
      </c>
      <c r="L69" s="51">
        <v>1212</v>
      </c>
      <c r="M69" s="51">
        <v>651</v>
      </c>
      <c r="N69" s="51">
        <v>1761</v>
      </c>
      <c r="O69" s="51">
        <v>2872</v>
      </c>
      <c r="P69" s="51">
        <v>2400</v>
      </c>
      <c r="Q69" s="51"/>
      <c r="R69" s="51">
        <v>3209</v>
      </c>
      <c r="S69" s="51">
        <v>379</v>
      </c>
      <c r="T69" s="51">
        <v>411</v>
      </c>
      <c r="U69" s="88">
        <v>31955</v>
      </c>
      <c r="V69" s="51">
        <v>31955</v>
      </c>
      <c r="W69" s="51"/>
      <c r="X69" s="51"/>
    </row>
    <row r="70" spans="1:24" ht="12">
      <c r="A70" s="87" t="s">
        <v>75</v>
      </c>
      <c r="B70" s="39">
        <v>151</v>
      </c>
      <c r="C70" s="87"/>
      <c r="D70" s="39">
        <v>67</v>
      </c>
      <c r="E70" s="87">
        <v>86</v>
      </c>
      <c r="F70" s="39">
        <v>2242</v>
      </c>
      <c r="G70" s="39">
        <v>482</v>
      </c>
      <c r="H70" s="39">
        <v>4113</v>
      </c>
      <c r="I70" s="39">
        <v>616</v>
      </c>
      <c r="J70" s="39">
        <v>4639</v>
      </c>
      <c r="K70" s="87">
        <v>1</v>
      </c>
      <c r="L70" s="39">
        <v>558</v>
      </c>
      <c r="M70" s="39">
        <v>313</v>
      </c>
      <c r="N70" s="87">
        <v>417</v>
      </c>
      <c r="O70" s="39">
        <v>1763</v>
      </c>
      <c r="P70" s="87">
        <v>1093</v>
      </c>
      <c r="Q70" s="87"/>
      <c r="R70" s="39">
        <v>2009</v>
      </c>
      <c r="S70" s="39">
        <v>232</v>
      </c>
      <c r="T70" s="39">
        <v>237</v>
      </c>
      <c r="U70" s="88">
        <v>19019</v>
      </c>
      <c r="V70" s="51">
        <v>19019</v>
      </c>
      <c r="W70" s="39"/>
      <c r="X70" s="39"/>
    </row>
    <row r="71" spans="1:24" ht="12">
      <c r="A71" s="103" t="s">
        <v>76</v>
      </c>
      <c r="B71" s="103">
        <v>633</v>
      </c>
      <c r="C71" s="103"/>
      <c r="D71" s="103">
        <v>242</v>
      </c>
      <c r="E71" s="103">
        <v>1065</v>
      </c>
      <c r="F71" s="103">
        <v>5667</v>
      </c>
      <c r="G71" s="103">
        <v>1925</v>
      </c>
      <c r="H71" s="103">
        <v>8525</v>
      </c>
      <c r="I71" s="103">
        <v>1892</v>
      </c>
      <c r="J71" s="103">
        <v>10488</v>
      </c>
      <c r="K71" s="103">
        <v>1020</v>
      </c>
      <c r="L71" s="103">
        <v>1770</v>
      </c>
      <c r="M71" s="103">
        <v>964</v>
      </c>
      <c r="N71" s="103">
        <v>2178</v>
      </c>
      <c r="O71" s="103">
        <v>4635</v>
      </c>
      <c r="P71" s="103">
        <v>3493</v>
      </c>
      <c r="Q71" s="103"/>
      <c r="R71" s="103">
        <v>5218</v>
      </c>
      <c r="S71" s="103">
        <v>611</v>
      </c>
      <c r="T71" s="103">
        <v>648</v>
      </c>
      <c r="U71" s="103">
        <v>50974</v>
      </c>
      <c r="V71" s="51">
        <v>50974</v>
      </c>
      <c r="W71" s="103"/>
      <c r="X71" s="103"/>
    </row>
    <row r="72" spans="1:24" ht="12">
      <c r="A72" s="26"/>
      <c r="B72" s="39">
        <v>0</v>
      </c>
      <c r="C72" s="39"/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/>
      <c r="R72" s="39">
        <v>0</v>
      </c>
      <c r="S72" s="39">
        <v>0</v>
      </c>
      <c r="T72" s="39">
        <v>0</v>
      </c>
      <c r="U72" s="39">
        <v>0</v>
      </c>
      <c r="V72" s="26"/>
      <c r="W72" s="26"/>
      <c r="X72" s="26"/>
    </row>
    <row r="73" spans="1:24" ht="12">
      <c r="A73" s="26"/>
      <c r="B73" s="39">
        <v>0</v>
      </c>
      <c r="C73" s="39"/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/>
      <c r="R73" s="39">
        <v>0</v>
      </c>
      <c r="S73" s="39">
        <v>0</v>
      </c>
      <c r="T73" s="39">
        <v>0</v>
      </c>
      <c r="U73" s="39">
        <v>0</v>
      </c>
      <c r="V73" s="26"/>
      <c r="W73" s="26"/>
      <c r="X73" s="26"/>
    </row>
    <row r="74" spans="1:24" ht="12">
      <c r="A74" s="26"/>
      <c r="B74" s="26"/>
      <c r="C74" s="26"/>
      <c r="D74" s="26"/>
      <c r="E74" s="26"/>
      <c r="F74" s="26"/>
      <c r="G74" s="26"/>
      <c r="H74" s="39">
        <v>0</v>
      </c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</row>
    <row r="75" spans="1:24" ht="12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</row>
    <row r="76" spans="1:24" ht="12">
      <c r="A76" s="26"/>
      <c r="B76" s="26"/>
      <c r="C76" s="26"/>
      <c r="D76" s="26"/>
      <c r="E76" s="26"/>
      <c r="F76" s="26"/>
      <c r="G76" s="26"/>
      <c r="H76" s="39">
        <v>0</v>
      </c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</row>
    <row r="77" spans="1:24" ht="12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</row>
    <row r="78" spans="1:24" ht="12">
      <c r="A78" s="81"/>
      <c r="B78" s="81"/>
      <c r="C78" s="83"/>
      <c r="D78" s="81"/>
      <c r="E78" s="83"/>
      <c r="F78" s="81"/>
      <c r="G78" s="81"/>
      <c r="H78" s="82"/>
      <c r="I78" s="81"/>
      <c r="J78" s="83"/>
      <c r="K78" s="83"/>
      <c r="L78" s="83"/>
      <c r="M78" s="83"/>
      <c r="N78" s="83"/>
      <c r="O78" s="81"/>
      <c r="P78" s="83"/>
      <c r="Q78" s="83"/>
      <c r="R78" s="82"/>
      <c r="S78" s="81"/>
      <c r="T78" s="81"/>
      <c r="U78" s="81"/>
      <c r="V78" s="21"/>
      <c r="W78" s="21"/>
      <c r="X78" s="21"/>
    </row>
    <row r="79" spans="1:24" ht="12">
      <c r="A79" s="84"/>
      <c r="B79" s="85"/>
      <c r="C79" s="87"/>
      <c r="D79" s="87"/>
      <c r="E79" s="87"/>
      <c r="F79" s="85"/>
      <c r="G79" s="85"/>
      <c r="H79" s="84"/>
      <c r="I79" s="85"/>
      <c r="J79" s="86"/>
      <c r="K79" s="87"/>
      <c r="L79" s="86"/>
      <c r="M79" s="86"/>
      <c r="N79" s="87"/>
      <c r="O79" s="85"/>
      <c r="P79" s="86"/>
      <c r="Q79" s="87"/>
      <c r="R79" s="85"/>
      <c r="S79" s="85"/>
      <c r="T79" s="85"/>
      <c r="U79" s="88"/>
      <c r="V79" s="2"/>
      <c r="W79" s="2"/>
      <c r="X79" s="2"/>
    </row>
    <row r="80" spans="1:24" ht="12">
      <c r="A80" s="89"/>
      <c r="B80" s="39"/>
      <c r="C80" s="87"/>
      <c r="D80" s="87"/>
      <c r="E80" s="87"/>
      <c r="F80" s="39"/>
      <c r="G80" s="39"/>
      <c r="H80" s="89"/>
      <c r="I80" s="39"/>
      <c r="J80" s="39"/>
      <c r="K80" s="87"/>
      <c r="L80" s="39"/>
      <c r="M80" s="39"/>
      <c r="N80" s="87"/>
      <c r="O80" s="39"/>
      <c r="P80" s="39"/>
      <c r="Q80" s="87"/>
      <c r="R80" s="39"/>
      <c r="S80" s="39"/>
      <c r="T80" s="39"/>
      <c r="U80" s="88"/>
      <c r="V80" s="39"/>
      <c r="W80" s="39"/>
      <c r="X80" s="39"/>
    </row>
    <row r="81" spans="1:24" ht="12">
      <c r="A81" s="89"/>
      <c r="B81" s="39"/>
      <c r="C81" s="87"/>
      <c r="D81" s="87"/>
      <c r="E81" s="87"/>
      <c r="F81" s="39"/>
      <c r="G81" s="39"/>
      <c r="H81" s="89"/>
      <c r="I81" s="39"/>
      <c r="J81" s="39"/>
      <c r="K81" s="87"/>
      <c r="L81" s="39"/>
      <c r="M81" s="39"/>
      <c r="N81" s="87"/>
      <c r="O81" s="39"/>
      <c r="P81" s="39"/>
      <c r="Q81" s="87"/>
      <c r="R81" s="39"/>
      <c r="S81" s="39"/>
      <c r="T81" s="39"/>
      <c r="U81" s="88"/>
      <c r="V81" s="39"/>
      <c r="W81" s="39"/>
      <c r="X81" s="39"/>
    </row>
    <row r="82" spans="1:24" ht="12">
      <c r="A82" s="89"/>
      <c r="B82" s="39"/>
      <c r="C82" s="87"/>
      <c r="D82" s="87"/>
      <c r="E82" s="87"/>
      <c r="F82" s="39"/>
      <c r="G82" s="39"/>
      <c r="H82" s="89"/>
      <c r="I82" s="39"/>
      <c r="J82" s="39"/>
      <c r="K82" s="87"/>
      <c r="L82" s="39"/>
      <c r="M82" s="39"/>
      <c r="N82" s="87"/>
      <c r="O82" s="39"/>
      <c r="P82" s="39"/>
      <c r="Q82" s="87"/>
      <c r="R82" s="39"/>
      <c r="S82" s="39"/>
      <c r="T82" s="39"/>
      <c r="U82" s="88"/>
      <c r="V82" s="39"/>
      <c r="W82" s="39"/>
      <c r="X82" s="39"/>
    </row>
    <row r="83" spans="1:24" ht="12">
      <c r="A83" s="89"/>
      <c r="B83" s="39"/>
      <c r="C83" s="87"/>
      <c r="D83" s="87"/>
      <c r="E83" s="87"/>
      <c r="F83" s="39"/>
      <c r="G83" s="39"/>
      <c r="H83" s="89"/>
      <c r="I83" s="39"/>
      <c r="J83" s="39"/>
      <c r="K83" s="87"/>
      <c r="L83" s="39"/>
      <c r="M83" s="39"/>
      <c r="N83" s="87"/>
      <c r="O83" s="39"/>
      <c r="P83" s="39"/>
      <c r="Q83" s="87"/>
      <c r="R83" s="39"/>
      <c r="S83" s="39"/>
      <c r="T83" s="39"/>
      <c r="U83" s="88"/>
      <c r="V83" s="39"/>
      <c r="W83" s="39"/>
      <c r="X83" s="39"/>
    </row>
    <row r="84" spans="1:24" ht="12">
      <c r="A84" s="89"/>
      <c r="B84" s="39"/>
      <c r="C84" s="87"/>
      <c r="D84" s="39"/>
      <c r="E84" s="87"/>
      <c r="F84" s="39"/>
      <c r="G84" s="39"/>
      <c r="H84" s="89"/>
      <c r="I84" s="39"/>
      <c r="J84" s="39"/>
      <c r="K84" s="87"/>
      <c r="L84" s="39"/>
      <c r="M84" s="39"/>
      <c r="N84" s="87"/>
      <c r="O84" s="39"/>
      <c r="P84" s="39"/>
      <c r="Q84" s="87"/>
      <c r="R84" s="39"/>
      <c r="S84" s="39"/>
      <c r="T84" s="39"/>
      <c r="U84" s="88"/>
      <c r="V84" s="39"/>
      <c r="W84" s="39"/>
      <c r="X84" s="39"/>
    </row>
    <row r="85" spans="1:24" ht="12">
      <c r="A85" s="44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50"/>
      <c r="V85" s="51"/>
      <c r="W85" s="45"/>
      <c r="X85" s="45"/>
    </row>
    <row r="86" spans="1:24" ht="12">
      <c r="A86" s="28"/>
      <c r="B86" s="104"/>
      <c r="C86" s="30"/>
      <c r="D86" s="104"/>
      <c r="E86" s="30"/>
      <c r="F86" s="104"/>
      <c r="G86" s="104"/>
      <c r="H86" s="104"/>
      <c r="I86" s="104"/>
      <c r="J86" s="104"/>
      <c r="K86" s="30"/>
      <c r="L86" s="104"/>
      <c r="M86" s="104"/>
      <c r="N86" s="30"/>
      <c r="O86" s="104"/>
      <c r="P86" s="41"/>
      <c r="Q86" s="30"/>
      <c r="R86" s="104"/>
      <c r="S86" s="104"/>
      <c r="T86" s="104"/>
      <c r="U86" s="38"/>
      <c r="V86" s="39"/>
      <c r="W86" s="41"/>
      <c r="X86" s="41"/>
    </row>
    <row r="87" spans="1:24" ht="12">
      <c r="A87" s="48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50"/>
      <c r="V87" s="94"/>
      <c r="W87" s="65"/>
      <c r="X87" s="65"/>
    </row>
    <row r="88" spans="1:24" ht="12">
      <c r="A88" s="54"/>
      <c r="B88" s="54"/>
      <c r="C88" s="30"/>
      <c r="D88" s="54"/>
      <c r="E88" s="30"/>
      <c r="F88" s="54"/>
      <c r="G88" s="54"/>
      <c r="H88" s="55"/>
      <c r="I88" s="54"/>
      <c r="J88" s="54"/>
      <c r="K88" s="30"/>
      <c r="L88" s="54"/>
      <c r="M88" s="54"/>
      <c r="N88" s="30"/>
      <c r="O88" s="54"/>
      <c r="P88" s="54"/>
      <c r="Q88" s="30"/>
      <c r="R88" s="55"/>
      <c r="S88" s="54"/>
      <c r="T88" s="54"/>
      <c r="U88" s="54"/>
      <c r="V88" s="56"/>
      <c r="W88" s="57"/>
      <c r="X88" s="57"/>
    </row>
    <row r="89" spans="1:24" ht="12">
      <c r="A89" s="35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0"/>
      <c r="V89" s="39"/>
      <c r="W89" s="41"/>
      <c r="X89" s="41"/>
    </row>
    <row r="90" spans="1:24" ht="12">
      <c r="A90" s="40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0"/>
      <c r="V90" s="39"/>
      <c r="W90" s="41"/>
      <c r="X90" s="41"/>
    </row>
    <row r="91" spans="1:24" ht="12">
      <c r="A91" s="40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0"/>
      <c r="V91" s="39"/>
      <c r="W91" s="41"/>
      <c r="X91" s="41"/>
    </row>
    <row r="92" spans="1:24" ht="12">
      <c r="A92" s="40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0"/>
      <c r="V92" s="42"/>
      <c r="W92" s="59"/>
      <c r="X92" s="59"/>
    </row>
    <row r="93" spans="1:24" ht="12">
      <c r="A93" s="40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0"/>
      <c r="V93" s="42"/>
      <c r="W93" s="59"/>
      <c r="X93" s="59"/>
    </row>
    <row r="94" spans="1:24" ht="12">
      <c r="A94" s="40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0"/>
      <c r="V94" s="43"/>
      <c r="W94" s="61"/>
      <c r="X94" s="61"/>
    </row>
    <row r="95" spans="1:24" ht="12">
      <c r="A95" s="44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50"/>
      <c r="V95" s="99"/>
      <c r="W95" s="63"/>
      <c r="X95" s="63"/>
    </row>
    <row r="96" spans="1:24" ht="12">
      <c r="A96" s="28"/>
      <c r="B96" s="38"/>
      <c r="C96" s="58"/>
      <c r="D96" s="38"/>
      <c r="E96" s="58"/>
      <c r="F96" s="38"/>
      <c r="G96" s="38"/>
      <c r="H96" s="38"/>
      <c r="I96" s="38"/>
      <c r="J96" s="38"/>
      <c r="K96" s="58"/>
      <c r="L96" s="38"/>
      <c r="M96" s="38"/>
      <c r="N96" s="58"/>
      <c r="O96" s="38"/>
      <c r="P96" s="38"/>
      <c r="Q96" s="58"/>
      <c r="R96" s="38"/>
      <c r="S96" s="38"/>
      <c r="T96" s="38"/>
      <c r="U96" s="50"/>
      <c r="V96" s="100"/>
      <c r="W96" s="64"/>
      <c r="X96" s="64"/>
    </row>
    <row r="97" spans="1:24" ht="12">
      <c r="A97" s="48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94"/>
      <c r="W97" s="65"/>
      <c r="X97" s="65"/>
    </row>
    <row r="98" spans="1:24" ht="12">
      <c r="A98" s="66"/>
      <c r="B98" s="66"/>
      <c r="C98" s="30"/>
      <c r="D98" s="66"/>
      <c r="E98" s="30"/>
      <c r="F98" s="66"/>
      <c r="G98" s="66"/>
      <c r="H98" s="55"/>
      <c r="I98" s="66"/>
      <c r="J98" s="66"/>
      <c r="K98" s="30"/>
      <c r="L98" s="66"/>
      <c r="M98" s="66"/>
      <c r="N98" s="30"/>
      <c r="O98" s="66"/>
      <c r="P98" s="66"/>
      <c r="Q98" s="30"/>
      <c r="R98" s="55"/>
      <c r="S98" s="66"/>
      <c r="T98" s="66"/>
      <c r="U98" s="67"/>
      <c r="V98" s="56"/>
      <c r="W98" s="57"/>
      <c r="X98" s="57"/>
    </row>
    <row r="99" spans="1:24" ht="12">
      <c r="A99" s="40"/>
      <c r="B99" s="41"/>
      <c r="C99" s="30"/>
      <c r="D99" s="30"/>
      <c r="E99" s="30"/>
      <c r="F99" s="41"/>
      <c r="G99" s="41"/>
      <c r="H99" s="41"/>
      <c r="I99" s="41"/>
      <c r="J99" s="41"/>
      <c r="K99" s="30"/>
      <c r="L99" s="41"/>
      <c r="M99" s="41"/>
      <c r="N99" s="30"/>
      <c r="O99" s="41"/>
      <c r="P99" s="41"/>
      <c r="Q99" s="30"/>
      <c r="R99" s="41"/>
      <c r="S99" s="41"/>
      <c r="T99" s="41"/>
      <c r="U99" s="50"/>
      <c r="V99" s="39"/>
      <c r="W99" s="41"/>
      <c r="X99" s="41"/>
    </row>
    <row r="100" spans="1:24" ht="12">
      <c r="A100" s="40"/>
      <c r="B100" s="41"/>
      <c r="C100" s="30"/>
      <c r="D100" s="30"/>
      <c r="E100" s="30"/>
      <c r="F100" s="41"/>
      <c r="G100" s="41"/>
      <c r="H100" s="41"/>
      <c r="I100" s="41"/>
      <c r="J100" s="41"/>
      <c r="K100" s="30"/>
      <c r="L100" s="41"/>
      <c r="M100" s="41"/>
      <c r="N100" s="30"/>
      <c r="O100" s="41"/>
      <c r="P100" s="41"/>
      <c r="Q100" s="30"/>
      <c r="R100" s="41"/>
      <c r="S100" s="41"/>
      <c r="T100" s="41"/>
      <c r="U100" s="50"/>
      <c r="V100" s="39"/>
      <c r="W100" s="41"/>
      <c r="X100" s="41"/>
    </row>
    <row r="101" spans="1:24" ht="12">
      <c r="A101" s="40"/>
      <c r="B101" s="41"/>
      <c r="C101" s="30"/>
      <c r="D101" s="30"/>
      <c r="E101" s="30"/>
      <c r="F101" s="41"/>
      <c r="G101" s="41"/>
      <c r="H101" s="41"/>
      <c r="I101" s="41"/>
      <c r="J101" s="41"/>
      <c r="K101" s="30"/>
      <c r="L101" s="41"/>
      <c r="M101" s="41"/>
      <c r="N101" s="30"/>
      <c r="O101" s="41"/>
      <c r="P101" s="41"/>
      <c r="Q101" s="30"/>
      <c r="R101" s="41"/>
      <c r="S101" s="41"/>
      <c r="T101" s="41"/>
      <c r="U101" s="50"/>
      <c r="V101" s="39"/>
      <c r="W101" s="41"/>
      <c r="X101" s="41"/>
    </row>
    <row r="102" spans="1:24" ht="12">
      <c r="A102" s="40"/>
      <c r="B102" s="41"/>
      <c r="C102" s="30"/>
      <c r="D102" s="30"/>
      <c r="E102" s="30"/>
      <c r="F102" s="41"/>
      <c r="G102" s="41"/>
      <c r="H102" s="41"/>
      <c r="I102" s="41"/>
      <c r="J102" s="41"/>
      <c r="K102" s="30"/>
      <c r="L102" s="41"/>
      <c r="M102" s="41"/>
      <c r="N102" s="30"/>
      <c r="O102" s="41"/>
      <c r="P102" s="41"/>
      <c r="Q102" s="30"/>
      <c r="R102" s="41"/>
      <c r="S102" s="41"/>
      <c r="T102" s="41"/>
      <c r="U102" s="50"/>
      <c r="V102" s="39"/>
      <c r="W102" s="41"/>
      <c r="X102" s="41"/>
    </row>
    <row r="103" spans="1:24" ht="12">
      <c r="A103" s="40"/>
      <c r="B103" s="41"/>
      <c r="C103" s="30"/>
      <c r="D103" s="30"/>
      <c r="E103" s="30"/>
      <c r="F103" s="41"/>
      <c r="G103" s="41"/>
      <c r="H103" s="41"/>
      <c r="I103" s="41"/>
      <c r="J103" s="30"/>
      <c r="K103" s="30"/>
      <c r="L103" s="41"/>
      <c r="M103" s="41"/>
      <c r="N103" s="30"/>
      <c r="O103" s="41"/>
      <c r="P103" s="41"/>
      <c r="Q103" s="30"/>
      <c r="R103" s="41"/>
      <c r="S103" s="41"/>
      <c r="T103" s="41"/>
      <c r="U103" s="50"/>
      <c r="V103" s="39"/>
      <c r="W103" s="41"/>
      <c r="X103" s="41"/>
    </row>
    <row r="104" spans="1:24" ht="12">
      <c r="A104" s="40"/>
      <c r="B104" s="41"/>
      <c r="C104" s="30"/>
      <c r="D104" s="41"/>
      <c r="E104" s="30"/>
      <c r="F104" s="41"/>
      <c r="G104" s="41"/>
      <c r="H104" s="41"/>
      <c r="I104" s="41"/>
      <c r="J104" s="41"/>
      <c r="K104" s="30"/>
      <c r="L104" s="41"/>
      <c r="M104" s="41"/>
      <c r="N104" s="30"/>
      <c r="O104" s="41"/>
      <c r="P104" s="41"/>
      <c r="Q104" s="30"/>
      <c r="R104" s="41"/>
      <c r="S104" s="41"/>
      <c r="T104" s="41"/>
      <c r="U104" s="50"/>
      <c r="V104" s="39"/>
      <c r="W104" s="41"/>
      <c r="X104" s="41"/>
    </row>
    <row r="105" spans="1:24" ht="12">
      <c r="A105" s="44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50"/>
      <c r="V105" s="51"/>
      <c r="W105" s="45"/>
      <c r="X105" s="45"/>
    </row>
    <row r="106" spans="1:24" ht="12">
      <c r="A106" s="28"/>
      <c r="B106" s="41"/>
      <c r="C106" s="30"/>
      <c r="D106" s="41"/>
      <c r="E106" s="30"/>
      <c r="F106" s="41"/>
      <c r="G106" s="41"/>
      <c r="H106" s="41"/>
      <c r="I106" s="41"/>
      <c r="J106" s="41"/>
      <c r="K106" s="30"/>
      <c r="L106" s="41"/>
      <c r="M106" s="41"/>
      <c r="N106" s="30"/>
      <c r="O106" s="41"/>
      <c r="P106" s="30"/>
      <c r="Q106" s="30"/>
      <c r="R106" s="41"/>
      <c r="S106" s="41"/>
      <c r="T106" s="41"/>
      <c r="U106" s="50"/>
      <c r="V106" s="39"/>
      <c r="W106" s="41"/>
      <c r="X106" s="41"/>
    </row>
    <row r="107" spans="1:24" ht="12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103"/>
      <c r="W107" s="71"/>
      <c r="X107" s="71"/>
    </row>
    <row r="108" spans="1:24" ht="12">
      <c r="A108" s="106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8"/>
      <c r="V108" s="51"/>
      <c r="W108" s="45"/>
      <c r="X108" s="45"/>
    </row>
  </sheetData>
  <sheetProtection/>
  <mergeCells count="1">
    <mergeCell ref="A1:N1"/>
  </mergeCells>
  <printOptions/>
  <pageMargins left="0.5511811023622047" right="0.2362204724409449" top="0.5511811023622047" bottom="0.1968503937007874" header="0.5118110236220472" footer="0.2362204724409449"/>
  <pageSetup fitToHeight="1" fitToWidth="1" orientation="portrait" paperSize="9" scale="74" r:id="rId1"/>
  <headerFooter alignWithMargins="0">
    <oddHeader>&amp;R&amp;F</oddHeader>
    <oddFooter>&amp;LComune di Bologna - Dipartimento Programmazione - Settore Statistica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8"/>
  <sheetViews>
    <sheetView showZeros="0" zoomScalePageLayoutView="0" workbookViewId="0" topLeftCell="A1">
      <selection activeCell="T1" sqref="T1:T16384"/>
    </sheetView>
  </sheetViews>
  <sheetFormatPr defaultColWidth="10.875" defaultRowHeight="12"/>
  <cols>
    <col min="1" max="1" width="30.875" style="27" customWidth="1"/>
    <col min="2" max="2" width="6.00390625" style="27" customWidth="1"/>
    <col min="3" max="3" width="6.125" style="27" customWidth="1"/>
    <col min="4" max="4" width="7.625" style="27" customWidth="1"/>
    <col min="5" max="5" width="7.375" style="27" customWidth="1"/>
    <col min="6" max="10" width="7.625" style="27" customWidth="1"/>
    <col min="11" max="11" width="9.75390625" style="27" customWidth="1"/>
    <col min="12" max="15" width="7.625" style="27" customWidth="1"/>
    <col min="16" max="16" width="9.875" style="27" customWidth="1"/>
    <col min="17" max="19" width="7.625" style="27" customWidth="1"/>
    <col min="20" max="20" width="9.00390625" style="27" customWidth="1"/>
    <col min="21" max="21" width="7.125" style="27" customWidth="1"/>
    <col min="22" max="23" width="9.875" style="27" customWidth="1"/>
    <col min="24" max="16384" width="10.875" style="27" customWidth="1"/>
  </cols>
  <sheetData>
    <row r="1" spans="1:22" s="3" customFormat="1" ht="30" customHeight="1">
      <c r="A1" s="272" t="s">
        <v>119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1"/>
      <c r="P1" s="1"/>
      <c r="Q1" s="1"/>
      <c r="R1" s="1"/>
      <c r="S1" s="1"/>
      <c r="T1" s="1"/>
      <c r="V1" s="2"/>
    </row>
    <row r="2" spans="1:22" s="14" customFormat="1" ht="15">
      <c r="A2" s="110" t="s">
        <v>125</v>
      </c>
      <c r="B2" s="9"/>
      <c r="C2" s="9"/>
      <c r="D2" s="11"/>
      <c r="E2" s="9"/>
      <c r="F2" s="7"/>
      <c r="G2" s="11"/>
      <c r="H2" s="5"/>
      <c r="I2" s="9"/>
      <c r="J2" s="6"/>
      <c r="K2" s="9"/>
      <c r="L2" s="9"/>
      <c r="M2" s="9"/>
      <c r="N2" s="111" t="s">
        <v>0</v>
      </c>
      <c r="O2" s="9"/>
      <c r="P2" s="9"/>
      <c r="Q2" s="9"/>
      <c r="R2" s="6"/>
      <c r="S2" s="8"/>
      <c r="T2" s="9"/>
      <c r="U2" s="12"/>
      <c r="V2" s="13"/>
    </row>
    <row r="3" spans="1:22" s="22" customFormat="1" ht="12">
      <c r="A3" s="15" t="s">
        <v>1</v>
      </c>
      <c r="B3" s="16"/>
      <c r="C3" s="16"/>
      <c r="D3" s="16"/>
      <c r="E3" s="16"/>
      <c r="F3" s="16"/>
      <c r="G3" s="16"/>
      <c r="H3" s="16" t="s">
        <v>2</v>
      </c>
      <c r="I3" s="16"/>
      <c r="J3" s="16"/>
      <c r="K3" s="16"/>
      <c r="L3" s="18"/>
      <c r="M3" s="16"/>
      <c r="N3" s="16"/>
      <c r="O3" s="16"/>
      <c r="P3" s="19"/>
      <c r="Q3" s="16"/>
      <c r="R3" s="17"/>
      <c r="S3" s="16"/>
      <c r="T3" s="16"/>
      <c r="U3" s="20" t="s">
        <v>3</v>
      </c>
      <c r="V3" s="21"/>
    </row>
    <row r="4" spans="1:22" ht="12">
      <c r="A4" s="15" t="s">
        <v>4</v>
      </c>
      <c r="B4" s="25" t="s">
        <v>14</v>
      </c>
      <c r="C4" s="24" t="s">
        <v>77</v>
      </c>
      <c r="D4" s="24" t="s">
        <v>11</v>
      </c>
      <c r="E4" s="24" t="s">
        <v>17</v>
      </c>
      <c r="F4" s="24" t="s">
        <v>7</v>
      </c>
      <c r="G4" s="25" t="s">
        <v>89</v>
      </c>
      <c r="H4" s="23" t="s">
        <v>5</v>
      </c>
      <c r="I4" s="25" t="s">
        <v>13</v>
      </c>
      <c r="J4" s="24" t="s">
        <v>8</v>
      </c>
      <c r="K4" s="24" t="s">
        <v>15</v>
      </c>
      <c r="L4" s="24" t="s">
        <v>10</v>
      </c>
      <c r="M4" s="24" t="s">
        <v>10</v>
      </c>
      <c r="N4" s="24" t="s">
        <v>16</v>
      </c>
      <c r="O4" s="25" t="s">
        <v>6</v>
      </c>
      <c r="P4" s="24" t="s">
        <v>6</v>
      </c>
      <c r="Q4" s="24" t="s">
        <v>79</v>
      </c>
      <c r="R4" s="24" t="s">
        <v>6</v>
      </c>
      <c r="S4" s="24" t="s">
        <v>6</v>
      </c>
      <c r="T4" s="25" t="s">
        <v>9</v>
      </c>
      <c r="U4" s="25"/>
      <c r="V4" s="26"/>
    </row>
    <row r="5" spans="1:22" ht="12">
      <c r="A5" s="15" t="s">
        <v>18</v>
      </c>
      <c r="B5" s="25" t="s">
        <v>31</v>
      </c>
      <c r="C5" s="24" t="s">
        <v>78</v>
      </c>
      <c r="D5" s="24" t="s">
        <v>28</v>
      </c>
      <c r="E5" s="24" t="s">
        <v>35</v>
      </c>
      <c r="F5" s="24" t="s">
        <v>21</v>
      </c>
      <c r="G5" s="24" t="s">
        <v>29</v>
      </c>
      <c r="H5" s="23" t="s">
        <v>19</v>
      </c>
      <c r="I5" s="25" t="s">
        <v>30</v>
      </c>
      <c r="J5" s="24" t="s">
        <v>23</v>
      </c>
      <c r="K5" s="24" t="s">
        <v>33</v>
      </c>
      <c r="L5" s="24" t="s">
        <v>26</v>
      </c>
      <c r="M5" s="24" t="s">
        <v>32</v>
      </c>
      <c r="N5" s="24" t="s">
        <v>34</v>
      </c>
      <c r="O5" s="25" t="s">
        <v>24</v>
      </c>
      <c r="P5" s="24" t="s">
        <v>27</v>
      </c>
      <c r="Q5" s="24" t="s">
        <v>84</v>
      </c>
      <c r="R5" s="24" t="s">
        <v>20</v>
      </c>
      <c r="S5" s="25" t="s">
        <v>22</v>
      </c>
      <c r="T5" s="25" t="s">
        <v>25</v>
      </c>
      <c r="U5" s="25"/>
      <c r="V5" s="26"/>
    </row>
    <row r="6" spans="1:22" ht="12">
      <c r="A6" s="28"/>
      <c r="B6" s="30"/>
      <c r="C6" s="24"/>
      <c r="D6" s="24" t="s">
        <v>44</v>
      </c>
      <c r="E6" s="24" t="s">
        <v>46</v>
      </c>
      <c r="F6" s="25"/>
      <c r="G6" s="30"/>
      <c r="H6" s="23" t="s">
        <v>36</v>
      </c>
      <c r="I6" s="30"/>
      <c r="J6" s="24" t="s">
        <v>39</v>
      </c>
      <c r="K6" s="24" t="s">
        <v>8</v>
      </c>
      <c r="L6" s="24" t="s">
        <v>42</v>
      </c>
      <c r="M6" s="24" t="s">
        <v>45</v>
      </c>
      <c r="N6" s="24"/>
      <c r="O6" s="29" t="s">
        <v>40</v>
      </c>
      <c r="P6" s="24" t="s">
        <v>43</v>
      </c>
      <c r="Q6" s="24" t="s">
        <v>85</v>
      </c>
      <c r="R6" s="24" t="s">
        <v>37</v>
      </c>
      <c r="S6" s="25" t="s">
        <v>38</v>
      </c>
      <c r="T6" s="25" t="s">
        <v>41</v>
      </c>
      <c r="U6" s="25"/>
      <c r="V6" s="26"/>
    </row>
    <row r="7" spans="1:22" s="14" customFormat="1" ht="12">
      <c r="A7" s="31"/>
      <c r="B7" s="32"/>
      <c r="C7" s="33"/>
      <c r="D7" s="32"/>
      <c r="E7" s="33" t="s">
        <v>53</v>
      </c>
      <c r="F7" s="32"/>
      <c r="G7" s="32"/>
      <c r="H7" s="31"/>
      <c r="I7" s="32"/>
      <c r="J7" s="33" t="s">
        <v>47</v>
      </c>
      <c r="K7" s="33" t="s">
        <v>52</v>
      </c>
      <c r="L7" s="33" t="s">
        <v>50</v>
      </c>
      <c r="M7" s="33" t="s">
        <v>51</v>
      </c>
      <c r="N7" s="33"/>
      <c r="O7" s="32" t="s">
        <v>48</v>
      </c>
      <c r="P7" s="33" t="s">
        <v>82</v>
      </c>
      <c r="Q7" s="33"/>
      <c r="R7" s="32"/>
      <c r="S7" s="32"/>
      <c r="T7" s="32" t="s">
        <v>49</v>
      </c>
      <c r="U7" s="32"/>
      <c r="V7" s="13"/>
    </row>
    <row r="8" spans="2:22" s="22" customFormat="1" ht="12">
      <c r="B8" s="34"/>
      <c r="C8" s="34"/>
      <c r="E8" s="34"/>
      <c r="F8" s="34"/>
      <c r="G8" s="34"/>
      <c r="H8" s="34"/>
      <c r="I8" s="34"/>
      <c r="J8" s="112"/>
      <c r="K8" s="34" t="s">
        <v>54</v>
      </c>
      <c r="L8" s="34"/>
      <c r="M8" s="34"/>
      <c r="N8" s="34"/>
      <c r="O8" s="34"/>
      <c r="P8" s="113"/>
      <c r="Q8" s="34"/>
      <c r="R8" s="34"/>
      <c r="S8" s="34"/>
      <c r="T8" s="34"/>
      <c r="U8" s="34"/>
      <c r="V8" s="21"/>
    </row>
    <row r="9" spans="1:22" s="3" customFormat="1" ht="12">
      <c r="A9" s="35" t="s">
        <v>55</v>
      </c>
      <c r="B9" s="37">
        <v>403</v>
      </c>
      <c r="C9" s="37">
        <v>104</v>
      </c>
      <c r="D9" s="36">
        <v>91</v>
      </c>
      <c r="E9" s="36">
        <v>308</v>
      </c>
      <c r="F9" s="36">
        <v>2647</v>
      </c>
      <c r="G9" s="36">
        <v>480</v>
      </c>
      <c r="H9" s="37">
        <v>1501</v>
      </c>
      <c r="I9" s="36">
        <v>2135</v>
      </c>
      <c r="J9" s="36">
        <v>3050</v>
      </c>
      <c r="K9" s="37">
        <v>849</v>
      </c>
      <c r="L9" s="36">
        <v>940</v>
      </c>
      <c r="M9" s="36">
        <v>210</v>
      </c>
      <c r="N9" s="36">
        <v>278</v>
      </c>
      <c r="O9" s="36">
        <v>992</v>
      </c>
      <c r="P9" s="36">
        <v>1681</v>
      </c>
      <c r="Q9" s="36">
        <v>210</v>
      </c>
      <c r="R9" s="37">
        <v>2405</v>
      </c>
      <c r="S9" s="37">
        <v>147</v>
      </c>
      <c r="T9" s="37">
        <v>190</v>
      </c>
      <c r="U9" s="38">
        <f aca="true" t="shared" si="0" ref="U9:U14">SUM(B9:T9)</f>
        <v>18621</v>
      </c>
      <c r="V9" s="39"/>
    </row>
    <row r="10" spans="1:24" ht="12">
      <c r="A10" s="40" t="s">
        <v>56</v>
      </c>
      <c r="B10" s="37">
        <v>219</v>
      </c>
      <c r="C10" s="37">
        <v>92</v>
      </c>
      <c r="D10" s="36">
        <v>76</v>
      </c>
      <c r="E10" s="36">
        <v>328</v>
      </c>
      <c r="F10" s="36">
        <v>2229</v>
      </c>
      <c r="G10" s="36">
        <v>357</v>
      </c>
      <c r="H10" s="37">
        <v>1304</v>
      </c>
      <c r="I10" s="36">
        <v>1737</v>
      </c>
      <c r="J10" s="36">
        <v>2543</v>
      </c>
      <c r="K10" s="37">
        <v>505</v>
      </c>
      <c r="L10" s="36">
        <v>882</v>
      </c>
      <c r="M10" s="36">
        <v>177</v>
      </c>
      <c r="N10" s="36">
        <v>305</v>
      </c>
      <c r="O10" s="36">
        <v>842</v>
      </c>
      <c r="P10" s="36">
        <v>1199</v>
      </c>
      <c r="Q10" s="36">
        <v>173</v>
      </c>
      <c r="R10" s="37">
        <v>1978</v>
      </c>
      <c r="S10" s="37">
        <v>157</v>
      </c>
      <c r="T10" s="37">
        <v>168</v>
      </c>
      <c r="U10" s="38">
        <f t="shared" si="0"/>
        <v>15271</v>
      </c>
      <c r="V10" s="39"/>
      <c r="W10" s="41"/>
      <c r="X10" s="41"/>
    </row>
    <row r="11" spans="1:24" ht="12">
      <c r="A11" s="40" t="s">
        <v>57</v>
      </c>
      <c r="B11" s="37">
        <v>234</v>
      </c>
      <c r="C11" s="37">
        <v>83</v>
      </c>
      <c r="D11" s="36">
        <v>62</v>
      </c>
      <c r="E11" s="36">
        <v>322</v>
      </c>
      <c r="F11" s="36">
        <v>3845</v>
      </c>
      <c r="G11" s="36">
        <v>331</v>
      </c>
      <c r="H11" s="37">
        <v>1386</v>
      </c>
      <c r="I11" s="36">
        <v>1675</v>
      </c>
      <c r="J11" s="36">
        <v>2322</v>
      </c>
      <c r="K11" s="37">
        <v>355</v>
      </c>
      <c r="L11" s="36">
        <v>901</v>
      </c>
      <c r="M11" s="36">
        <v>167</v>
      </c>
      <c r="N11" s="36">
        <v>360</v>
      </c>
      <c r="O11" s="36">
        <v>982</v>
      </c>
      <c r="P11" s="36">
        <v>994</v>
      </c>
      <c r="Q11" s="36">
        <v>158</v>
      </c>
      <c r="R11" s="37">
        <v>1547</v>
      </c>
      <c r="S11" s="37">
        <v>253</v>
      </c>
      <c r="T11" s="37">
        <v>174</v>
      </c>
      <c r="U11" s="38">
        <f t="shared" si="0"/>
        <v>16151</v>
      </c>
      <c r="V11" s="39"/>
      <c r="W11" s="41"/>
      <c r="X11" s="41"/>
    </row>
    <row r="12" spans="1:24" ht="12">
      <c r="A12" s="40" t="s">
        <v>58</v>
      </c>
      <c r="B12" s="37">
        <v>107</v>
      </c>
      <c r="C12" s="37">
        <v>104</v>
      </c>
      <c r="D12" s="36">
        <v>46</v>
      </c>
      <c r="E12" s="36">
        <v>301</v>
      </c>
      <c r="F12" s="36">
        <v>887</v>
      </c>
      <c r="G12" s="36">
        <v>349</v>
      </c>
      <c r="H12" s="37">
        <v>1161</v>
      </c>
      <c r="I12" s="36">
        <v>954</v>
      </c>
      <c r="J12" s="36">
        <v>1873</v>
      </c>
      <c r="K12" s="37">
        <v>334</v>
      </c>
      <c r="L12" s="36">
        <v>503</v>
      </c>
      <c r="M12" s="36">
        <v>187</v>
      </c>
      <c r="N12" s="36">
        <v>279</v>
      </c>
      <c r="O12" s="36">
        <v>342</v>
      </c>
      <c r="P12" s="36">
        <v>601</v>
      </c>
      <c r="Q12" s="36">
        <v>531</v>
      </c>
      <c r="R12" s="37">
        <v>824</v>
      </c>
      <c r="S12" s="37">
        <v>114</v>
      </c>
      <c r="T12" s="37">
        <v>155</v>
      </c>
      <c r="U12" s="38">
        <f t="shared" si="0"/>
        <v>9652</v>
      </c>
      <c r="V12" s="42"/>
      <c r="W12" s="41"/>
      <c r="X12" s="41"/>
    </row>
    <row r="13" spans="1:24" ht="12">
      <c r="A13" s="40" t="s">
        <v>59</v>
      </c>
      <c r="B13" s="37">
        <v>182</v>
      </c>
      <c r="C13" s="36"/>
      <c r="D13" s="36">
        <v>42</v>
      </c>
      <c r="E13" s="36"/>
      <c r="F13" s="36"/>
      <c r="G13" s="36">
        <v>328</v>
      </c>
      <c r="H13" s="37">
        <v>0</v>
      </c>
      <c r="I13" s="36">
        <v>1568</v>
      </c>
      <c r="J13" s="36">
        <v>404</v>
      </c>
      <c r="K13" s="37"/>
      <c r="L13" s="36">
        <v>604</v>
      </c>
      <c r="M13" s="36">
        <v>183</v>
      </c>
      <c r="N13" s="36">
        <v>289</v>
      </c>
      <c r="O13" s="36">
        <v>0</v>
      </c>
      <c r="P13" s="36">
        <v>406</v>
      </c>
      <c r="Q13" s="36"/>
      <c r="R13" s="37">
        <v>0</v>
      </c>
      <c r="S13" s="37">
        <v>0</v>
      </c>
      <c r="T13" s="37"/>
      <c r="U13" s="38">
        <f t="shared" si="0"/>
        <v>4006</v>
      </c>
      <c r="V13" s="42"/>
      <c r="W13" s="41"/>
      <c r="X13" s="41"/>
    </row>
    <row r="14" spans="1:24" ht="12">
      <c r="A14" s="40" t="s">
        <v>60</v>
      </c>
      <c r="B14" s="37">
        <v>0</v>
      </c>
      <c r="C14" s="36">
        <v>0</v>
      </c>
      <c r="D14" s="36">
        <v>0</v>
      </c>
      <c r="E14" s="36">
        <v>0</v>
      </c>
      <c r="F14" s="36"/>
      <c r="G14" s="36">
        <v>0</v>
      </c>
      <c r="H14" s="37">
        <v>0</v>
      </c>
      <c r="I14" s="36"/>
      <c r="J14" s="36"/>
      <c r="K14" s="37"/>
      <c r="L14" s="36">
        <v>282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7">
        <v>0</v>
      </c>
      <c r="S14" s="37">
        <v>0</v>
      </c>
      <c r="T14" s="37"/>
      <c r="U14" s="38">
        <f t="shared" si="0"/>
        <v>282</v>
      </c>
      <c r="V14" s="43"/>
      <c r="W14" s="41"/>
      <c r="X14" s="41"/>
    </row>
    <row r="15" spans="1:24" s="46" customFormat="1" ht="12">
      <c r="A15" s="44" t="s">
        <v>61</v>
      </c>
      <c r="B15" s="45">
        <f aca="true" t="shared" si="1" ref="B15:U15">SUM(B9:B14)</f>
        <v>1145</v>
      </c>
      <c r="C15" s="45">
        <f t="shared" si="1"/>
        <v>383</v>
      </c>
      <c r="D15" s="45">
        <f t="shared" si="1"/>
        <v>317</v>
      </c>
      <c r="E15" s="45">
        <f t="shared" si="1"/>
        <v>1259</v>
      </c>
      <c r="F15" s="45">
        <f t="shared" si="1"/>
        <v>9608</v>
      </c>
      <c r="G15" s="45">
        <f t="shared" si="1"/>
        <v>1845</v>
      </c>
      <c r="H15" s="45">
        <f t="shared" si="1"/>
        <v>5352</v>
      </c>
      <c r="I15" s="45">
        <f t="shared" si="1"/>
        <v>8069</v>
      </c>
      <c r="J15" s="45">
        <f t="shared" si="1"/>
        <v>10192</v>
      </c>
      <c r="K15" s="45">
        <f t="shared" si="1"/>
        <v>2043</v>
      </c>
      <c r="L15" s="45">
        <f t="shared" si="1"/>
        <v>4112</v>
      </c>
      <c r="M15" s="45">
        <f t="shared" si="1"/>
        <v>924</v>
      </c>
      <c r="N15" s="45">
        <f t="shared" si="1"/>
        <v>1511</v>
      </c>
      <c r="O15" s="45">
        <f t="shared" si="1"/>
        <v>3158</v>
      </c>
      <c r="P15" s="45">
        <f t="shared" si="1"/>
        <v>4881</v>
      </c>
      <c r="Q15" s="45">
        <f t="shared" si="1"/>
        <v>1072</v>
      </c>
      <c r="R15" s="45">
        <f t="shared" si="1"/>
        <v>6754</v>
      </c>
      <c r="S15" s="45">
        <f t="shared" si="1"/>
        <v>671</v>
      </c>
      <c r="T15" s="45">
        <f t="shared" si="1"/>
        <v>687</v>
      </c>
      <c r="U15" s="45">
        <f t="shared" si="1"/>
        <v>63983</v>
      </c>
      <c r="V15" s="45">
        <f>SUM(B15:T15)-U15</f>
        <v>0</v>
      </c>
      <c r="W15" s="45"/>
      <c r="X15" s="45"/>
    </row>
    <row r="16" spans="1:24" ht="12">
      <c r="A16" s="28" t="s">
        <v>62</v>
      </c>
      <c r="B16" s="36">
        <v>718</v>
      </c>
      <c r="C16" s="36"/>
      <c r="D16" s="36">
        <v>116</v>
      </c>
      <c r="E16" s="36">
        <v>1215</v>
      </c>
      <c r="F16" s="36">
        <v>4757</v>
      </c>
      <c r="G16" s="36">
        <v>1045</v>
      </c>
      <c r="H16" s="37">
        <v>6449</v>
      </c>
      <c r="I16" s="36">
        <v>4758</v>
      </c>
      <c r="J16" s="36">
        <v>6626</v>
      </c>
      <c r="K16" s="36">
        <v>1198</v>
      </c>
      <c r="L16" s="36">
        <v>800</v>
      </c>
      <c r="M16" s="36">
        <v>605</v>
      </c>
      <c r="N16" s="36">
        <v>577</v>
      </c>
      <c r="O16" s="36">
        <v>2415</v>
      </c>
      <c r="P16" s="36">
        <v>2373</v>
      </c>
      <c r="Q16" s="36">
        <v>49</v>
      </c>
      <c r="R16" s="36">
        <v>3519</v>
      </c>
      <c r="S16" s="36">
        <v>421</v>
      </c>
      <c r="T16" s="36">
        <v>279</v>
      </c>
      <c r="U16" s="38">
        <f>SUM(B16:T16)</f>
        <v>37920</v>
      </c>
      <c r="V16" s="36">
        <f>+U17-U16-U15</f>
        <v>0</v>
      </c>
      <c r="W16" s="41"/>
      <c r="X16" s="47"/>
    </row>
    <row r="17" spans="1:24" s="53" customFormat="1" ht="12">
      <c r="A17" s="48" t="s">
        <v>63</v>
      </c>
      <c r="B17" s="49">
        <f aca="true" t="shared" si="2" ref="B17:T17">+B15+B16</f>
        <v>1863</v>
      </c>
      <c r="C17" s="49">
        <f t="shared" si="2"/>
        <v>383</v>
      </c>
      <c r="D17" s="49">
        <f t="shared" si="2"/>
        <v>433</v>
      </c>
      <c r="E17" s="49">
        <f t="shared" si="2"/>
        <v>2474</v>
      </c>
      <c r="F17" s="49">
        <f t="shared" si="2"/>
        <v>14365</v>
      </c>
      <c r="G17" s="49">
        <f t="shared" si="2"/>
        <v>2890</v>
      </c>
      <c r="H17" s="49">
        <f t="shared" si="2"/>
        <v>11801</v>
      </c>
      <c r="I17" s="49">
        <f t="shared" si="2"/>
        <v>12827</v>
      </c>
      <c r="J17" s="49">
        <f t="shared" si="2"/>
        <v>16818</v>
      </c>
      <c r="K17" s="49">
        <f t="shared" si="2"/>
        <v>3241</v>
      </c>
      <c r="L17" s="49">
        <f t="shared" si="2"/>
        <v>4912</v>
      </c>
      <c r="M17" s="49">
        <f t="shared" si="2"/>
        <v>1529</v>
      </c>
      <c r="N17" s="49">
        <f t="shared" si="2"/>
        <v>2088</v>
      </c>
      <c r="O17" s="49">
        <f t="shared" si="2"/>
        <v>5573</v>
      </c>
      <c r="P17" s="49">
        <f t="shared" si="2"/>
        <v>7254</v>
      </c>
      <c r="Q17" s="49">
        <f t="shared" si="2"/>
        <v>1121</v>
      </c>
      <c r="R17" s="49">
        <f t="shared" si="2"/>
        <v>10273</v>
      </c>
      <c r="S17" s="49">
        <f t="shared" si="2"/>
        <v>1092</v>
      </c>
      <c r="T17" s="49">
        <f t="shared" si="2"/>
        <v>966</v>
      </c>
      <c r="U17" s="50">
        <f>SUM(B17:T17)</f>
        <v>101903</v>
      </c>
      <c r="V17" s="51">
        <f>+U17-U16-SUM(U9:U14)</f>
        <v>0</v>
      </c>
      <c r="W17" s="52"/>
      <c r="X17" s="52"/>
    </row>
    <row r="18" spans="1:24" s="22" customFormat="1" ht="12">
      <c r="A18" s="54" t="s">
        <v>86</v>
      </c>
      <c r="B18" s="54"/>
      <c r="C18" s="114"/>
      <c r="D18" s="54"/>
      <c r="E18" s="114"/>
      <c r="F18" s="54"/>
      <c r="G18" s="54"/>
      <c r="H18" s="114"/>
      <c r="I18" s="54"/>
      <c r="J18" s="54"/>
      <c r="K18" s="114"/>
      <c r="L18" s="54"/>
      <c r="M18" s="54"/>
      <c r="N18" s="114"/>
      <c r="O18" s="54"/>
      <c r="P18" s="54"/>
      <c r="Q18" s="114"/>
      <c r="R18" s="114"/>
      <c r="S18" s="54"/>
      <c r="T18" s="54"/>
      <c r="U18" s="54">
        <v>0</v>
      </c>
      <c r="V18" s="56"/>
      <c r="W18" s="57"/>
      <c r="X18" s="57"/>
    </row>
    <row r="19" spans="1:24" ht="12">
      <c r="A19" s="35" t="s">
        <v>55</v>
      </c>
      <c r="B19" s="58">
        <v>258</v>
      </c>
      <c r="C19" s="58">
        <v>47</v>
      </c>
      <c r="D19" s="58">
        <v>58</v>
      </c>
      <c r="E19" s="58">
        <v>117</v>
      </c>
      <c r="F19" s="58">
        <v>1399</v>
      </c>
      <c r="G19" s="58">
        <v>157</v>
      </c>
      <c r="H19" s="37">
        <v>630</v>
      </c>
      <c r="I19" s="58">
        <v>1675</v>
      </c>
      <c r="J19" s="58">
        <v>1231</v>
      </c>
      <c r="K19" s="58">
        <v>168</v>
      </c>
      <c r="L19" s="58">
        <v>336</v>
      </c>
      <c r="M19" s="58">
        <v>77</v>
      </c>
      <c r="N19" s="58">
        <v>62</v>
      </c>
      <c r="O19" s="58">
        <v>138</v>
      </c>
      <c r="P19" s="58">
        <v>993</v>
      </c>
      <c r="Q19" s="58">
        <v>143</v>
      </c>
      <c r="R19" s="58">
        <v>1079</v>
      </c>
      <c r="S19" s="37">
        <v>87</v>
      </c>
      <c r="T19" s="58">
        <v>27</v>
      </c>
      <c r="U19" s="38">
        <f aca="true" t="shared" si="3" ref="U19:U24">SUM(B19:T19)</f>
        <v>8682</v>
      </c>
      <c r="V19" s="39"/>
      <c r="W19" s="41"/>
      <c r="X19" s="41"/>
    </row>
    <row r="20" spans="1:24" ht="12">
      <c r="A20" s="40" t="s">
        <v>56</v>
      </c>
      <c r="B20" s="58">
        <v>135</v>
      </c>
      <c r="C20" s="58">
        <v>31</v>
      </c>
      <c r="D20" s="58">
        <v>41</v>
      </c>
      <c r="E20" s="58">
        <v>89</v>
      </c>
      <c r="F20" s="58">
        <v>1186</v>
      </c>
      <c r="G20" s="58">
        <v>107</v>
      </c>
      <c r="H20" s="37">
        <v>544</v>
      </c>
      <c r="I20" s="58">
        <v>1389</v>
      </c>
      <c r="J20" s="58">
        <v>950</v>
      </c>
      <c r="K20" s="58">
        <v>78</v>
      </c>
      <c r="L20" s="58">
        <v>313</v>
      </c>
      <c r="M20" s="58">
        <v>69</v>
      </c>
      <c r="N20" s="58">
        <v>56</v>
      </c>
      <c r="O20" s="58">
        <v>102</v>
      </c>
      <c r="P20" s="58">
        <v>739</v>
      </c>
      <c r="Q20" s="58">
        <v>99</v>
      </c>
      <c r="R20" s="58">
        <v>883</v>
      </c>
      <c r="S20" s="37">
        <v>92</v>
      </c>
      <c r="T20" s="58">
        <v>20</v>
      </c>
      <c r="U20" s="38">
        <f t="shared" si="3"/>
        <v>6923</v>
      </c>
      <c r="V20" s="39"/>
      <c r="W20" s="41"/>
      <c r="X20" s="41"/>
    </row>
    <row r="21" spans="1:24" ht="12">
      <c r="A21" s="40" t="s">
        <v>57</v>
      </c>
      <c r="B21" s="58">
        <v>152</v>
      </c>
      <c r="C21" s="58">
        <v>37</v>
      </c>
      <c r="D21" s="58">
        <v>47</v>
      </c>
      <c r="E21" s="58">
        <v>87</v>
      </c>
      <c r="F21" s="58">
        <v>2725</v>
      </c>
      <c r="G21" s="58">
        <v>102</v>
      </c>
      <c r="H21" s="37">
        <v>591</v>
      </c>
      <c r="I21" s="58">
        <v>1400</v>
      </c>
      <c r="J21" s="58">
        <v>894</v>
      </c>
      <c r="K21" s="58">
        <v>62</v>
      </c>
      <c r="L21" s="58">
        <v>295</v>
      </c>
      <c r="M21" s="58">
        <v>53</v>
      </c>
      <c r="N21" s="58">
        <v>59</v>
      </c>
      <c r="O21" s="58">
        <v>104</v>
      </c>
      <c r="P21" s="58">
        <v>600</v>
      </c>
      <c r="Q21" s="58">
        <v>92</v>
      </c>
      <c r="R21" s="58">
        <v>638</v>
      </c>
      <c r="S21" s="37">
        <v>133</v>
      </c>
      <c r="T21" s="58">
        <v>20</v>
      </c>
      <c r="U21" s="38">
        <f t="shared" si="3"/>
        <v>8091</v>
      </c>
      <c r="V21" s="39"/>
      <c r="W21" s="41"/>
      <c r="X21" s="41"/>
    </row>
    <row r="22" spans="1:24" s="60" customFormat="1" ht="12">
      <c r="A22" s="40" t="s">
        <v>58</v>
      </c>
      <c r="B22" s="58">
        <v>73</v>
      </c>
      <c r="C22" s="58">
        <v>46</v>
      </c>
      <c r="D22" s="58">
        <v>24</v>
      </c>
      <c r="E22" s="58">
        <v>77</v>
      </c>
      <c r="F22" s="58">
        <v>500</v>
      </c>
      <c r="G22" s="58">
        <v>99</v>
      </c>
      <c r="H22" s="37">
        <v>508</v>
      </c>
      <c r="I22" s="58">
        <v>704</v>
      </c>
      <c r="J22" s="58">
        <v>720</v>
      </c>
      <c r="K22" s="58">
        <v>47</v>
      </c>
      <c r="L22" s="58">
        <v>212</v>
      </c>
      <c r="M22" s="58">
        <v>67</v>
      </c>
      <c r="N22" s="58">
        <v>44</v>
      </c>
      <c r="O22" s="58">
        <v>28</v>
      </c>
      <c r="P22" s="58">
        <v>304</v>
      </c>
      <c r="Q22" s="58">
        <v>270</v>
      </c>
      <c r="R22" s="58">
        <v>321</v>
      </c>
      <c r="S22" s="37">
        <v>60</v>
      </c>
      <c r="T22" s="58">
        <v>23</v>
      </c>
      <c r="U22" s="38">
        <f t="shared" si="3"/>
        <v>4127</v>
      </c>
      <c r="V22" s="42"/>
      <c r="W22" s="59"/>
      <c r="X22" s="59"/>
    </row>
    <row r="23" spans="1:24" s="60" customFormat="1" ht="12">
      <c r="A23" s="40" t="s">
        <v>59</v>
      </c>
      <c r="B23" s="58">
        <v>102</v>
      </c>
      <c r="C23" s="58"/>
      <c r="D23" s="58">
        <v>25</v>
      </c>
      <c r="E23" s="58"/>
      <c r="F23" s="58"/>
      <c r="G23" s="58">
        <v>88</v>
      </c>
      <c r="H23" s="58"/>
      <c r="I23" s="58">
        <v>1242</v>
      </c>
      <c r="J23" s="58">
        <v>156</v>
      </c>
      <c r="K23" s="58"/>
      <c r="L23" s="58">
        <v>283</v>
      </c>
      <c r="M23" s="58">
        <v>69</v>
      </c>
      <c r="N23" s="58">
        <v>52</v>
      </c>
      <c r="O23" s="58"/>
      <c r="P23" s="58">
        <v>188</v>
      </c>
      <c r="Q23" s="58"/>
      <c r="R23" s="58"/>
      <c r="S23" s="37"/>
      <c r="T23" s="58"/>
      <c r="U23" s="38">
        <f t="shared" si="3"/>
        <v>2205</v>
      </c>
      <c r="V23" s="42"/>
      <c r="W23" s="59"/>
      <c r="X23" s="59"/>
    </row>
    <row r="24" spans="1:24" s="62" customFormat="1" ht="12">
      <c r="A24" s="40" t="s">
        <v>60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>
        <v>129</v>
      </c>
      <c r="M24" s="58"/>
      <c r="N24" s="58"/>
      <c r="O24" s="58"/>
      <c r="P24" s="58"/>
      <c r="Q24" s="58"/>
      <c r="R24" s="58"/>
      <c r="S24" s="37"/>
      <c r="T24" s="58"/>
      <c r="U24" s="38">
        <f t="shared" si="3"/>
        <v>129</v>
      </c>
      <c r="V24" s="43"/>
      <c r="W24" s="61"/>
      <c r="X24" s="61"/>
    </row>
    <row r="25" spans="1:23" s="63" customFormat="1" ht="12">
      <c r="A25" s="44" t="s">
        <v>61</v>
      </c>
      <c r="B25" s="45">
        <f aca="true" t="shared" si="4" ref="B25:U25">SUM(B19:B24)</f>
        <v>720</v>
      </c>
      <c r="C25" s="45">
        <f t="shared" si="4"/>
        <v>161</v>
      </c>
      <c r="D25" s="45">
        <f t="shared" si="4"/>
        <v>195</v>
      </c>
      <c r="E25" s="45">
        <f t="shared" si="4"/>
        <v>370</v>
      </c>
      <c r="F25" s="45">
        <f t="shared" si="4"/>
        <v>5810</v>
      </c>
      <c r="G25" s="45">
        <f t="shared" si="4"/>
        <v>553</v>
      </c>
      <c r="H25" s="45">
        <f t="shared" si="4"/>
        <v>2273</v>
      </c>
      <c r="I25" s="45">
        <f t="shared" si="4"/>
        <v>6410</v>
      </c>
      <c r="J25" s="45">
        <f t="shared" si="4"/>
        <v>3951</v>
      </c>
      <c r="K25" s="45">
        <f t="shared" si="4"/>
        <v>355</v>
      </c>
      <c r="L25" s="45">
        <f t="shared" si="4"/>
        <v>1568</v>
      </c>
      <c r="M25" s="45">
        <f t="shared" si="4"/>
        <v>335</v>
      </c>
      <c r="N25" s="45">
        <f t="shared" si="4"/>
        <v>273</v>
      </c>
      <c r="O25" s="45">
        <f t="shared" si="4"/>
        <v>372</v>
      </c>
      <c r="P25" s="45">
        <f t="shared" si="4"/>
        <v>2824</v>
      </c>
      <c r="Q25" s="45">
        <f t="shared" si="4"/>
        <v>604</v>
      </c>
      <c r="R25" s="45">
        <f t="shared" si="4"/>
        <v>2921</v>
      </c>
      <c r="S25" s="45">
        <f t="shared" si="4"/>
        <v>372</v>
      </c>
      <c r="T25" s="45">
        <f t="shared" si="4"/>
        <v>90</v>
      </c>
      <c r="U25" s="45">
        <f t="shared" si="4"/>
        <v>30157</v>
      </c>
      <c r="V25" s="45">
        <f>SUM(B25:T25)-U25</f>
        <v>0</v>
      </c>
      <c r="W25" s="36"/>
    </row>
    <row r="26" spans="1:22" s="64" customFormat="1" ht="12">
      <c r="A26" s="28" t="s">
        <v>62</v>
      </c>
      <c r="B26" s="58">
        <v>470</v>
      </c>
      <c r="C26" s="58"/>
      <c r="D26" s="58">
        <v>84</v>
      </c>
      <c r="E26" s="58">
        <v>307</v>
      </c>
      <c r="F26" s="58">
        <v>2727</v>
      </c>
      <c r="G26" s="58">
        <v>316</v>
      </c>
      <c r="H26" s="58">
        <v>2804</v>
      </c>
      <c r="I26" s="58">
        <v>4064</v>
      </c>
      <c r="J26" s="58">
        <v>2683</v>
      </c>
      <c r="K26" s="58">
        <v>143</v>
      </c>
      <c r="L26" s="58">
        <v>391</v>
      </c>
      <c r="M26" s="58">
        <v>219</v>
      </c>
      <c r="N26" s="58">
        <v>121</v>
      </c>
      <c r="O26" s="58">
        <v>255</v>
      </c>
      <c r="P26" s="37">
        <v>1362</v>
      </c>
      <c r="Q26" s="58">
        <v>25</v>
      </c>
      <c r="R26" s="58">
        <v>1555</v>
      </c>
      <c r="S26" s="58">
        <v>237</v>
      </c>
      <c r="T26" s="58">
        <v>43</v>
      </c>
      <c r="U26" s="38">
        <f>SUM(B26:T26)</f>
        <v>17806</v>
      </c>
      <c r="V26" s="36">
        <f>+U27-U26-U25</f>
        <v>0</v>
      </c>
    </row>
    <row r="27" spans="1:24" s="53" customFormat="1" ht="12">
      <c r="A27" s="48" t="s">
        <v>63</v>
      </c>
      <c r="B27" s="49">
        <f aca="true" t="shared" si="5" ref="B27:T27">+B25+B26</f>
        <v>1190</v>
      </c>
      <c r="C27" s="49">
        <f t="shared" si="5"/>
        <v>161</v>
      </c>
      <c r="D27" s="49">
        <f t="shared" si="5"/>
        <v>279</v>
      </c>
      <c r="E27" s="49">
        <f t="shared" si="5"/>
        <v>677</v>
      </c>
      <c r="F27" s="49">
        <f t="shared" si="5"/>
        <v>8537</v>
      </c>
      <c r="G27" s="49">
        <f t="shared" si="5"/>
        <v>869</v>
      </c>
      <c r="H27" s="49">
        <f t="shared" si="5"/>
        <v>5077</v>
      </c>
      <c r="I27" s="49">
        <f t="shared" si="5"/>
        <v>10474</v>
      </c>
      <c r="J27" s="49">
        <f t="shared" si="5"/>
        <v>6634</v>
      </c>
      <c r="K27" s="49">
        <f t="shared" si="5"/>
        <v>498</v>
      </c>
      <c r="L27" s="49">
        <f t="shared" si="5"/>
        <v>1959</v>
      </c>
      <c r="M27" s="49">
        <f t="shared" si="5"/>
        <v>554</v>
      </c>
      <c r="N27" s="49">
        <f t="shared" si="5"/>
        <v>394</v>
      </c>
      <c r="O27" s="49">
        <f t="shared" si="5"/>
        <v>627</v>
      </c>
      <c r="P27" s="49">
        <f t="shared" si="5"/>
        <v>4186</v>
      </c>
      <c r="Q27" s="49">
        <f t="shared" si="5"/>
        <v>629</v>
      </c>
      <c r="R27" s="49">
        <f t="shared" si="5"/>
        <v>4476</v>
      </c>
      <c r="S27" s="49">
        <f t="shared" si="5"/>
        <v>609</v>
      </c>
      <c r="T27" s="49">
        <f t="shared" si="5"/>
        <v>133</v>
      </c>
      <c r="U27" s="50">
        <f>SUM(B27:T27)</f>
        <v>47963</v>
      </c>
      <c r="V27" s="51">
        <f>+U27-U26-SUM(U19:U24)</f>
        <v>0</v>
      </c>
      <c r="W27" s="65"/>
      <c r="X27" s="65"/>
    </row>
    <row r="28" spans="1:24" s="22" customFormat="1" ht="12">
      <c r="A28" s="66" t="s">
        <v>87</v>
      </c>
      <c r="B28" s="66"/>
      <c r="C28" s="114"/>
      <c r="D28" s="66"/>
      <c r="E28" s="114"/>
      <c r="F28" s="66"/>
      <c r="G28" s="66"/>
      <c r="H28" s="114"/>
      <c r="I28" s="66"/>
      <c r="J28" s="66"/>
      <c r="K28" s="114"/>
      <c r="L28" s="66"/>
      <c r="M28" s="66"/>
      <c r="N28" s="114"/>
      <c r="O28" s="66"/>
      <c r="P28" s="66"/>
      <c r="Q28" s="114"/>
      <c r="R28" s="114"/>
      <c r="S28" s="66"/>
      <c r="T28" s="66"/>
      <c r="U28" s="67">
        <v>0</v>
      </c>
      <c r="V28" s="56"/>
      <c r="W28" s="57"/>
      <c r="X28" s="57"/>
    </row>
    <row r="29" spans="1:24" ht="12">
      <c r="A29" s="35" t="s">
        <v>55</v>
      </c>
      <c r="B29" s="58">
        <f aca="true" t="shared" si="6" ref="B29:T29">B9-B19</f>
        <v>145</v>
      </c>
      <c r="C29" s="58">
        <f t="shared" si="6"/>
        <v>57</v>
      </c>
      <c r="D29" s="58">
        <f t="shared" si="6"/>
        <v>33</v>
      </c>
      <c r="E29" s="58">
        <f t="shared" si="6"/>
        <v>191</v>
      </c>
      <c r="F29" s="58">
        <f t="shared" si="6"/>
        <v>1248</v>
      </c>
      <c r="G29" s="58">
        <f t="shared" si="6"/>
        <v>323</v>
      </c>
      <c r="H29" s="58">
        <f t="shared" si="6"/>
        <v>871</v>
      </c>
      <c r="I29" s="58">
        <f t="shared" si="6"/>
        <v>460</v>
      </c>
      <c r="J29" s="58">
        <f t="shared" si="6"/>
        <v>1819</v>
      </c>
      <c r="K29" s="58">
        <f t="shared" si="6"/>
        <v>681</v>
      </c>
      <c r="L29" s="58">
        <f t="shared" si="6"/>
        <v>604</v>
      </c>
      <c r="M29" s="58">
        <f t="shared" si="6"/>
        <v>133</v>
      </c>
      <c r="N29" s="58">
        <f t="shared" si="6"/>
        <v>216</v>
      </c>
      <c r="O29" s="58">
        <f t="shared" si="6"/>
        <v>854</v>
      </c>
      <c r="P29" s="58">
        <f t="shared" si="6"/>
        <v>688</v>
      </c>
      <c r="Q29" s="58">
        <f t="shared" si="6"/>
        <v>67</v>
      </c>
      <c r="R29" s="58">
        <f t="shared" si="6"/>
        <v>1326</v>
      </c>
      <c r="S29" s="58">
        <f t="shared" si="6"/>
        <v>60</v>
      </c>
      <c r="T29" s="58">
        <f t="shared" si="6"/>
        <v>163</v>
      </c>
      <c r="U29" s="38">
        <f aca="true" t="shared" si="7" ref="U29:U34">SUM(B29:T29)</f>
        <v>9939</v>
      </c>
      <c r="V29" s="39"/>
      <c r="W29" s="41"/>
      <c r="X29" s="41"/>
    </row>
    <row r="30" spans="1:24" ht="12">
      <c r="A30" s="40" t="s">
        <v>56</v>
      </c>
      <c r="B30" s="58">
        <f aca="true" t="shared" si="8" ref="B30:T30">B10-B20</f>
        <v>84</v>
      </c>
      <c r="C30" s="58">
        <f t="shared" si="8"/>
        <v>61</v>
      </c>
      <c r="D30" s="58">
        <f t="shared" si="8"/>
        <v>35</v>
      </c>
      <c r="E30" s="58">
        <f t="shared" si="8"/>
        <v>239</v>
      </c>
      <c r="F30" s="58">
        <f t="shared" si="8"/>
        <v>1043</v>
      </c>
      <c r="G30" s="58">
        <f t="shared" si="8"/>
        <v>250</v>
      </c>
      <c r="H30" s="58">
        <f t="shared" si="8"/>
        <v>760</v>
      </c>
      <c r="I30" s="58">
        <f t="shared" si="8"/>
        <v>348</v>
      </c>
      <c r="J30" s="58">
        <f t="shared" si="8"/>
        <v>1593</v>
      </c>
      <c r="K30" s="58">
        <f t="shared" si="8"/>
        <v>427</v>
      </c>
      <c r="L30" s="58">
        <f t="shared" si="8"/>
        <v>569</v>
      </c>
      <c r="M30" s="58">
        <f t="shared" si="8"/>
        <v>108</v>
      </c>
      <c r="N30" s="58">
        <f t="shared" si="8"/>
        <v>249</v>
      </c>
      <c r="O30" s="58">
        <f t="shared" si="8"/>
        <v>740</v>
      </c>
      <c r="P30" s="58">
        <f t="shared" si="8"/>
        <v>460</v>
      </c>
      <c r="Q30" s="58">
        <f t="shared" si="8"/>
        <v>74</v>
      </c>
      <c r="R30" s="58">
        <f t="shared" si="8"/>
        <v>1095</v>
      </c>
      <c r="S30" s="58">
        <f t="shared" si="8"/>
        <v>65</v>
      </c>
      <c r="T30" s="58">
        <f t="shared" si="8"/>
        <v>148</v>
      </c>
      <c r="U30" s="38">
        <f t="shared" si="7"/>
        <v>8348</v>
      </c>
      <c r="V30" s="39"/>
      <c r="W30" s="41"/>
      <c r="X30" s="41"/>
    </row>
    <row r="31" spans="1:24" ht="12">
      <c r="A31" s="40" t="s">
        <v>57</v>
      </c>
      <c r="B31" s="58">
        <f aca="true" t="shared" si="9" ref="B31:T31">B11-B21</f>
        <v>82</v>
      </c>
      <c r="C31" s="58">
        <f t="shared" si="9"/>
        <v>46</v>
      </c>
      <c r="D31" s="58">
        <f t="shared" si="9"/>
        <v>15</v>
      </c>
      <c r="E31" s="58">
        <f t="shared" si="9"/>
        <v>235</v>
      </c>
      <c r="F31" s="58">
        <f t="shared" si="9"/>
        <v>1120</v>
      </c>
      <c r="G31" s="58">
        <f t="shared" si="9"/>
        <v>229</v>
      </c>
      <c r="H31" s="58">
        <f t="shared" si="9"/>
        <v>795</v>
      </c>
      <c r="I31" s="58">
        <f t="shared" si="9"/>
        <v>275</v>
      </c>
      <c r="J31" s="58">
        <f t="shared" si="9"/>
        <v>1428</v>
      </c>
      <c r="K31" s="58">
        <f t="shared" si="9"/>
        <v>293</v>
      </c>
      <c r="L31" s="58">
        <f t="shared" si="9"/>
        <v>606</v>
      </c>
      <c r="M31" s="58">
        <f t="shared" si="9"/>
        <v>114</v>
      </c>
      <c r="N31" s="58">
        <f t="shared" si="9"/>
        <v>301</v>
      </c>
      <c r="O31" s="58">
        <f t="shared" si="9"/>
        <v>878</v>
      </c>
      <c r="P31" s="58">
        <f t="shared" si="9"/>
        <v>394</v>
      </c>
      <c r="Q31" s="58">
        <f t="shared" si="9"/>
        <v>66</v>
      </c>
      <c r="R31" s="58">
        <f t="shared" si="9"/>
        <v>909</v>
      </c>
      <c r="S31" s="58">
        <f t="shared" si="9"/>
        <v>120</v>
      </c>
      <c r="T31" s="58">
        <f t="shared" si="9"/>
        <v>154</v>
      </c>
      <c r="U31" s="38">
        <f t="shared" si="7"/>
        <v>8060</v>
      </c>
      <c r="V31" s="39"/>
      <c r="W31" s="41"/>
      <c r="X31" s="41"/>
    </row>
    <row r="32" spans="1:24" ht="12">
      <c r="A32" s="40" t="s">
        <v>58</v>
      </c>
      <c r="B32" s="58">
        <f aca="true" t="shared" si="10" ref="B32:T32">B12-B22</f>
        <v>34</v>
      </c>
      <c r="C32" s="58">
        <f t="shared" si="10"/>
        <v>58</v>
      </c>
      <c r="D32" s="58">
        <f t="shared" si="10"/>
        <v>22</v>
      </c>
      <c r="E32" s="58">
        <f t="shared" si="10"/>
        <v>224</v>
      </c>
      <c r="F32" s="58">
        <f t="shared" si="10"/>
        <v>387</v>
      </c>
      <c r="G32" s="58">
        <f t="shared" si="10"/>
        <v>250</v>
      </c>
      <c r="H32" s="58">
        <f t="shared" si="10"/>
        <v>653</v>
      </c>
      <c r="I32" s="58">
        <f t="shared" si="10"/>
        <v>250</v>
      </c>
      <c r="J32" s="58">
        <f t="shared" si="10"/>
        <v>1153</v>
      </c>
      <c r="K32" s="58">
        <f t="shared" si="10"/>
        <v>287</v>
      </c>
      <c r="L32" s="58">
        <f t="shared" si="10"/>
        <v>291</v>
      </c>
      <c r="M32" s="58">
        <f t="shared" si="10"/>
        <v>120</v>
      </c>
      <c r="N32" s="58">
        <f t="shared" si="10"/>
        <v>235</v>
      </c>
      <c r="O32" s="58">
        <f t="shared" si="10"/>
        <v>314</v>
      </c>
      <c r="P32" s="58">
        <f t="shared" si="10"/>
        <v>297</v>
      </c>
      <c r="Q32" s="58">
        <f t="shared" si="10"/>
        <v>261</v>
      </c>
      <c r="R32" s="58">
        <f t="shared" si="10"/>
        <v>503</v>
      </c>
      <c r="S32" s="58">
        <f t="shared" si="10"/>
        <v>54</v>
      </c>
      <c r="T32" s="58">
        <f t="shared" si="10"/>
        <v>132</v>
      </c>
      <c r="U32" s="38">
        <f t="shared" si="7"/>
        <v>5525</v>
      </c>
      <c r="V32" s="42"/>
      <c r="W32" s="59"/>
      <c r="X32" s="41"/>
    </row>
    <row r="33" spans="1:24" ht="12">
      <c r="A33" s="40" t="s">
        <v>59</v>
      </c>
      <c r="B33" s="58">
        <f>B13-B23</f>
        <v>80</v>
      </c>
      <c r="C33" s="58"/>
      <c r="D33" s="58">
        <f aca="true" t="shared" si="11" ref="D33:T33">D13-D23</f>
        <v>17</v>
      </c>
      <c r="E33" s="58">
        <f t="shared" si="11"/>
        <v>0</v>
      </c>
      <c r="F33" s="58">
        <f t="shared" si="11"/>
        <v>0</v>
      </c>
      <c r="G33" s="58">
        <f t="shared" si="11"/>
        <v>240</v>
      </c>
      <c r="H33" s="58">
        <f t="shared" si="11"/>
        <v>0</v>
      </c>
      <c r="I33" s="58">
        <f t="shared" si="11"/>
        <v>326</v>
      </c>
      <c r="J33" s="58">
        <f t="shared" si="11"/>
        <v>248</v>
      </c>
      <c r="K33" s="58">
        <f t="shared" si="11"/>
        <v>0</v>
      </c>
      <c r="L33" s="58">
        <f t="shared" si="11"/>
        <v>321</v>
      </c>
      <c r="M33" s="58">
        <f t="shared" si="11"/>
        <v>114</v>
      </c>
      <c r="N33" s="58">
        <f t="shared" si="11"/>
        <v>237</v>
      </c>
      <c r="O33" s="58">
        <f t="shared" si="11"/>
        <v>0</v>
      </c>
      <c r="P33" s="58">
        <f t="shared" si="11"/>
        <v>218</v>
      </c>
      <c r="Q33" s="58">
        <f t="shared" si="11"/>
        <v>0</v>
      </c>
      <c r="R33" s="58">
        <f t="shared" si="11"/>
        <v>0</v>
      </c>
      <c r="S33" s="58">
        <f t="shared" si="11"/>
        <v>0</v>
      </c>
      <c r="T33" s="58">
        <f t="shared" si="11"/>
        <v>0</v>
      </c>
      <c r="U33" s="38">
        <f t="shared" si="7"/>
        <v>1801</v>
      </c>
      <c r="V33" s="42"/>
      <c r="W33" s="59"/>
      <c r="X33" s="41"/>
    </row>
    <row r="34" spans="1:24" ht="12">
      <c r="A34" s="40" t="s">
        <v>60</v>
      </c>
      <c r="B34" s="58">
        <f>B14-B24</f>
        <v>0</v>
      </c>
      <c r="C34" s="58"/>
      <c r="D34" s="58">
        <f aca="true" t="shared" si="12" ref="D34:T34">D14-D24</f>
        <v>0</v>
      </c>
      <c r="E34" s="58">
        <f t="shared" si="12"/>
        <v>0</v>
      </c>
      <c r="F34" s="58">
        <f t="shared" si="12"/>
        <v>0</v>
      </c>
      <c r="G34" s="58">
        <f t="shared" si="12"/>
        <v>0</v>
      </c>
      <c r="H34" s="58">
        <f t="shared" si="12"/>
        <v>0</v>
      </c>
      <c r="I34" s="58">
        <f t="shared" si="12"/>
        <v>0</v>
      </c>
      <c r="J34" s="58">
        <f t="shared" si="12"/>
        <v>0</v>
      </c>
      <c r="K34" s="58">
        <f t="shared" si="12"/>
        <v>0</v>
      </c>
      <c r="L34" s="58">
        <f t="shared" si="12"/>
        <v>153</v>
      </c>
      <c r="M34" s="58">
        <f t="shared" si="12"/>
        <v>0</v>
      </c>
      <c r="N34" s="58">
        <f t="shared" si="12"/>
        <v>0</v>
      </c>
      <c r="O34" s="58">
        <f t="shared" si="12"/>
        <v>0</v>
      </c>
      <c r="P34" s="58">
        <f t="shared" si="12"/>
        <v>0</v>
      </c>
      <c r="Q34" s="58">
        <f t="shared" si="12"/>
        <v>0</v>
      </c>
      <c r="R34" s="58">
        <f t="shared" si="12"/>
        <v>0</v>
      </c>
      <c r="S34" s="58">
        <f t="shared" si="12"/>
        <v>0</v>
      </c>
      <c r="T34" s="58">
        <f t="shared" si="12"/>
        <v>0</v>
      </c>
      <c r="U34" s="38">
        <f t="shared" si="7"/>
        <v>153</v>
      </c>
      <c r="V34" s="43"/>
      <c r="W34" s="61"/>
      <c r="X34" s="41"/>
    </row>
    <row r="35" spans="1:24" s="46" customFormat="1" ht="12">
      <c r="A35" s="44" t="s">
        <v>61</v>
      </c>
      <c r="B35" s="45">
        <f aca="true" t="shared" si="13" ref="B35:U35">SUM(B29:B34)</f>
        <v>425</v>
      </c>
      <c r="C35" s="45">
        <f t="shared" si="13"/>
        <v>222</v>
      </c>
      <c r="D35" s="45">
        <f t="shared" si="13"/>
        <v>122</v>
      </c>
      <c r="E35" s="45">
        <f t="shared" si="13"/>
        <v>889</v>
      </c>
      <c r="F35" s="45">
        <f t="shared" si="13"/>
        <v>3798</v>
      </c>
      <c r="G35" s="45">
        <f t="shared" si="13"/>
        <v>1292</v>
      </c>
      <c r="H35" s="45">
        <f t="shared" si="13"/>
        <v>3079</v>
      </c>
      <c r="I35" s="45">
        <f t="shared" si="13"/>
        <v>1659</v>
      </c>
      <c r="J35" s="45">
        <f t="shared" si="13"/>
        <v>6241</v>
      </c>
      <c r="K35" s="45">
        <f t="shared" si="13"/>
        <v>1688</v>
      </c>
      <c r="L35" s="45">
        <f t="shared" si="13"/>
        <v>2544</v>
      </c>
      <c r="M35" s="45">
        <f t="shared" si="13"/>
        <v>589</v>
      </c>
      <c r="N35" s="45">
        <f t="shared" si="13"/>
        <v>1238</v>
      </c>
      <c r="O35" s="45">
        <f t="shared" si="13"/>
        <v>2786</v>
      </c>
      <c r="P35" s="45">
        <f t="shared" si="13"/>
        <v>2057</v>
      </c>
      <c r="Q35" s="45">
        <f t="shared" si="13"/>
        <v>468</v>
      </c>
      <c r="R35" s="45">
        <f t="shared" si="13"/>
        <v>3833</v>
      </c>
      <c r="S35" s="45">
        <f t="shared" si="13"/>
        <v>299</v>
      </c>
      <c r="T35" s="45">
        <f t="shared" si="13"/>
        <v>597</v>
      </c>
      <c r="U35" s="45">
        <f t="shared" si="13"/>
        <v>33826</v>
      </c>
      <c r="V35" s="45">
        <f>SUM(B35:T35)-U35</f>
        <v>0</v>
      </c>
      <c r="W35" s="36"/>
      <c r="X35" s="45"/>
    </row>
    <row r="36" spans="1:24" ht="12">
      <c r="A36" s="28" t="s">
        <v>62</v>
      </c>
      <c r="B36" s="58">
        <f>B16-B26</f>
        <v>248</v>
      </c>
      <c r="C36" s="58"/>
      <c r="D36" s="58">
        <f aca="true" t="shared" si="14" ref="D36:T36">D16-D26</f>
        <v>32</v>
      </c>
      <c r="E36" s="58">
        <f t="shared" si="14"/>
        <v>908</v>
      </c>
      <c r="F36" s="58">
        <f t="shared" si="14"/>
        <v>2030</v>
      </c>
      <c r="G36" s="58">
        <f t="shared" si="14"/>
        <v>729</v>
      </c>
      <c r="H36" s="58">
        <f t="shared" si="14"/>
        <v>3645</v>
      </c>
      <c r="I36" s="58">
        <f t="shared" si="14"/>
        <v>694</v>
      </c>
      <c r="J36" s="58">
        <f t="shared" si="14"/>
        <v>3943</v>
      </c>
      <c r="K36" s="58">
        <f t="shared" si="14"/>
        <v>1055</v>
      </c>
      <c r="L36" s="58">
        <f t="shared" si="14"/>
        <v>409</v>
      </c>
      <c r="M36" s="58">
        <f t="shared" si="14"/>
        <v>386</v>
      </c>
      <c r="N36" s="58">
        <f t="shared" si="14"/>
        <v>456</v>
      </c>
      <c r="O36" s="58">
        <f t="shared" si="14"/>
        <v>2160</v>
      </c>
      <c r="P36" s="58">
        <f t="shared" si="14"/>
        <v>1011</v>
      </c>
      <c r="Q36" s="58">
        <f t="shared" si="14"/>
        <v>24</v>
      </c>
      <c r="R36" s="58">
        <f t="shared" si="14"/>
        <v>1964</v>
      </c>
      <c r="S36" s="58">
        <f t="shared" si="14"/>
        <v>184</v>
      </c>
      <c r="T36" s="58">
        <f t="shared" si="14"/>
        <v>236</v>
      </c>
      <c r="U36" s="38">
        <f>SUM(B36:T36)</f>
        <v>20114</v>
      </c>
      <c r="V36" s="36">
        <f>+U37-U36-U35</f>
        <v>0</v>
      </c>
      <c r="W36" s="64"/>
      <c r="X36" s="41"/>
    </row>
    <row r="37" spans="1:24" s="72" customFormat="1" ht="12">
      <c r="A37" s="68" t="s">
        <v>63</v>
      </c>
      <c r="B37" s="69">
        <f aca="true" t="shared" si="15" ref="B37:T37">+B35+B36</f>
        <v>673</v>
      </c>
      <c r="C37" s="69">
        <f t="shared" si="15"/>
        <v>222</v>
      </c>
      <c r="D37" s="69">
        <f t="shared" si="15"/>
        <v>154</v>
      </c>
      <c r="E37" s="69">
        <f t="shared" si="15"/>
        <v>1797</v>
      </c>
      <c r="F37" s="69">
        <f t="shared" si="15"/>
        <v>5828</v>
      </c>
      <c r="G37" s="69">
        <f t="shared" si="15"/>
        <v>2021</v>
      </c>
      <c r="H37" s="69">
        <f t="shared" si="15"/>
        <v>6724</v>
      </c>
      <c r="I37" s="69">
        <f t="shared" si="15"/>
        <v>2353</v>
      </c>
      <c r="J37" s="69">
        <f t="shared" si="15"/>
        <v>10184</v>
      </c>
      <c r="K37" s="69">
        <f t="shared" si="15"/>
        <v>2743</v>
      </c>
      <c r="L37" s="69">
        <f t="shared" si="15"/>
        <v>2953</v>
      </c>
      <c r="M37" s="69">
        <f t="shared" si="15"/>
        <v>975</v>
      </c>
      <c r="N37" s="69">
        <f t="shared" si="15"/>
        <v>1694</v>
      </c>
      <c r="O37" s="69">
        <f t="shared" si="15"/>
        <v>4946</v>
      </c>
      <c r="P37" s="69">
        <f t="shared" si="15"/>
        <v>3068</v>
      </c>
      <c r="Q37" s="69">
        <f t="shared" si="15"/>
        <v>492</v>
      </c>
      <c r="R37" s="69">
        <f t="shared" si="15"/>
        <v>5797</v>
      </c>
      <c r="S37" s="69">
        <f t="shared" si="15"/>
        <v>483</v>
      </c>
      <c r="T37" s="69">
        <f t="shared" si="15"/>
        <v>833</v>
      </c>
      <c r="U37" s="70">
        <f>SUM(B37:T37)</f>
        <v>53940</v>
      </c>
      <c r="V37" s="51">
        <f>+U37-U36-SUM(U29:U34)</f>
        <v>0</v>
      </c>
      <c r="W37" s="65"/>
      <c r="X37" s="71"/>
    </row>
    <row r="38" spans="1:24" ht="13.5" customHeight="1">
      <c r="A38" s="73" t="s">
        <v>92</v>
      </c>
      <c r="B38" s="74"/>
      <c r="C38" s="75"/>
      <c r="D38" s="74"/>
      <c r="E38" s="75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5"/>
      <c r="R38" s="74"/>
      <c r="S38" s="74"/>
      <c r="T38" s="74"/>
      <c r="U38" s="75"/>
      <c r="V38" s="76"/>
      <c r="W38" s="75"/>
      <c r="X38" s="75"/>
    </row>
    <row r="39" spans="1:24" ht="12">
      <c r="A39" s="73" t="s">
        <v>91</v>
      </c>
      <c r="B39" s="74"/>
      <c r="C39" s="75"/>
      <c r="D39" s="74"/>
      <c r="E39" s="75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5"/>
      <c r="R39" s="74"/>
      <c r="S39" s="74"/>
      <c r="T39" s="74"/>
      <c r="U39" s="75"/>
      <c r="V39" s="76"/>
      <c r="W39" s="75"/>
      <c r="X39" s="75"/>
    </row>
    <row r="40" spans="1:24" ht="12">
      <c r="A40" s="77" t="s">
        <v>66</v>
      </c>
      <c r="B40" s="78"/>
      <c r="C40" s="78"/>
      <c r="D40" s="78"/>
      <c r="E40" s="78"/>
      <c r="F40" s="78"/>
      <c r="G40" s="78"/>
      <c r="H40" s="77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/>
      <c r="W40" s="80"/>
      <c r="X40" s="80"/>
    </row>
    <row r="42" spans="1:24" ht="12">
      <c r="A42" s="81" t="s">
        <v>67</v>
      </c>
      <c r="B42" s="81"/>
      <c r="C42" s="83"/>
      <c r="D42" s="81"/>
      <c r="E42" s="83"/>
      <c r="F42" s="81"/>
      <c r="G42" s="81"/>
      <c r="H42" s="82"/>
      <c r="I42" s="81"/>
      <c r="J42" s="83"/>
      <c r="K42" s="83"/>
      <c r="L42" s="83"/>
      <c r="M42" s="83"/>
      <c r="N42" s="83"/>
      <c r="O42" s="81"/>
      <c r="P42" s="83"/>
      <c r="Q42" s="83"/>
      <c r="R42" s="82"/>
      <c r="S42" s="81"/>
      <c r="T42" s="81"/>
      <c r="U42" s="81"/>
      <c r="V42" s="21"/>
      <c r="W42" s="21"/>
      <c r="X42" s="21"/>
    </row>
    <row r="43" spans="1:24" ht="12">
      <c r="A43" s="84" t="s">
        <v>68</v>
      </c>
      <c r="B43" s="85">
        <v>472</v>
      </c>
      <c r="C43" s="87"/>
      <c r="D43" s="87">
        <v>81</v>
      </c>
      <c r="E43" s="87">
        <v>437</v>
      </c>
      <c r="F43" s="85">
        <v>2249</v>
      </c>
      <c r="G43" s="85">
        <v>532</v>
      </c>
      <c r="H43" s="84">
        <v>2126</v>
      </c>
      <c r="I43" s="85">
        <v>1941</v>
      </c>
      <c r="J43" s="86">
        <v>2696</v>
      </c>
      <c r="K43" s="87">
        <v>675</v>
      </c>
      <c r="L43" s="86">
        <v>414</v>
      </c>
      <c r="M43" s="86">
        <v>186</v>
      </c>
      <c r="N43" s="87">
        <v>318</v>
      </c>
      <c r="O43" s="85">
        <v>1160</v>
      </c>
      <c r="P43" s="86">
        <v>1512</v>
      </c>
      <c r="Q43" s="87"/>
      <c r="R43" s="85">
        <v>1929</v>
      </c>
      <c r="S43" s="85">
        <v>210</v>
      </c>
      <c r="T43" s="85">
        <v>177</v>
      </c>
      <c r="U43" s="88">
        <v>17115</v>
      </c>
      <c r="V43" s="2"/>
      <c r="W43" s="2"/>
      <c r="X43" s="2"/>
    </row>
    <row r="44" spans="1:24" ht="12">
      <c r="A44" s="89" t="s">
        <v>69</v>
      </c>
      <c r="B44" s="39">
        <v>286</v>
      </c>
      <c r="C44" s="87"/>
      <c r="D44" s="87">
        <v>88</v>
      </c>
      <c r="E44" s="87">
        <v>359</v>
      </c>
      <c r="F44" s="39">
        <v>1743</v>
      </c>
      <c r="G44" s="39">
        <v>397</v>
      </c>
      <c r="H44" s="89">
        <v>1741</v>
      </c>
      <c r="I44" s="39">
        <v>1764</v>
      </c>
      <c r="J44" s="39">
        <v>2350</v>
      </c>
      <c r="K44" s="87">
        <v>508</v>
      </c>
      <c r="L44" s="39">
        <v>351</v>
      </c>
      <c r="M44" s="39">
        <v>224</v>
      </c>
      <c r="N44" s="87">
        <v>340</v>
      </c>
      <c r="O44" s="39">
        <v>809</v>
      </c>
      <c r="P44" s="39">
        <v>1308</v>
      </c>
      <c r="Q44" s="87"/>
      <c r="R44" s="39">
        <v>1413</v>
      </c>
      <c r="S44" s="39">
        <v>155</v>
      </c>
      <c r="T44" s="39"/>
      <c r="U44" s="88">
        <v>13836</v>
      </c>
      <c r="V44" s="39"/>
      <c r="W44" s="39"/>
      <c r="X44" s="39"/>
    </row>
    <row r="45" spans="1:24" ht="12">
      <c r="A45" s="89" t="s">
        <v>70</v>
      </c>
      <c r="B45" s="39">
        <v>207</v>
      </c>
      <c r="C45" s="87"/>
      <c r="D45" s="87">
        <v>99</v>
      </c>
      <c r="E45" s="87">
        <v>264</v>
      </c>
      <c r="F45" s="39">
        <v>1747</v>
      </c>
      <c r="G45" s="39">
        <v>418</v>
      </c>
      <c r="H45" s="89">
        <v>1837</v>
      </c>
      <c r="I45" s="39">
        <v>1437</v>
      </c>
      <c r="J45" s="39">
        <v>2317</v>
      </c>
      <c r="K45" s="87"/>
      <c r="L45" s="39">
        <v>352</v>
      </c>
      <c r="M45" s="39">
        <v>251</v>
      </c>
      <c r="N45" s="87">
        <v>330</v>
      </c>
      <c r="O45" s="39">
        <v>773</v>
      </c>
      <c r="P45" s="39">
        <v>1108</v>
      </c>
      <c r="Q45" s="87"/>
      <c r="R45" s="39">
        <v>1449</v>
      </c>
      <c r="S45" s="39">
        <v>203</v>
      </c>
      <c r="T45" s="39">
        <v>134</v>
      </c>
      <c r="U45" s="88">
        <v>12926</v>
      </c>
      <c r="V45" s="39"/>
      <c r="W45" s="39"/>
      <c r="X45" s="39"/>
    </row>
    <row r="46" spans="1:24" ht="12">
      <c r="A46" s="89" t="s">
        <v>71</v>
      </c>
      <c r="B46" s="39">
        <v>207</v>
      </c>
      <c r="C46" s="87"/>
      <c r="D46" s="87">
        <v>101</v>
      </c>
      <c r="E46" s="87">
        <v>212</v>
      </c>
      <c r="F46" s="39">
        <v>1612</v>
      </c>
      <c r="G46" s="39">
        <v>421</v>
      </c>
      <c r="H46" s="89">
        <v>2138</v>
      </c>
      <c r="I46" s="39">
        <v>1275</v>
      </c>
      <c r="J46" s="39">
        <v>2131</v>
      </c>
      <c r="K46" s="87"/>
      <c r="L46" s="39">
        <v>363</v>
      </c>
      <c r="M46" s="39">
        <v>221</v>
      </c>
      <c r="N46" s="87">
        <v>605</v>
      </c>
      <c r="O46" s="39">
        <v>557</v>
      </c>
      <c r="P46" s="39">
        <v>985</v>
      </c>
      <c r="Q46" s="87"/>
      <c r="R46" s="39">
        <v>1322</v>
      </c>
      <c r="S46" s="39">
        <v>174</v>
      </c>
      <c r="T46" s="39">
        <v>156</v>
      </c>
      <c r="U46" s="88">
        <v>12480</v>
      </c>
      <c r="V46" s="39"/>
      <c r="W46" s="39"/>
      <c r="X46" s="39"/>
    </row>
    <row r="47" spans="1:24" ht="12">
      <c r="A47" s="89" t="s">
        <v>72</v>
      </c>
      <c r="B47" s="39">
        <v>163</v>
      </c>
      <c r="C47" s="87"/>
      <c r="D47" s="87">
        <v>114</v>
      </c>
      <c r="E47" s="87"/>
      <c r="F47" s="39"/>
      <c r="G47" s="39">
        <v>309</v>
      </c>
      <c r="H47" s="89"/>
      <c r="I47" s="39">
        <v>1117</v>
      </c>
      <c r="J47" s="39">
        <v>0</v>
      </c>
      <c r="K47" s="87"/>
      <c r="L47" s="39">
        <v>325</v>
      </c>
      <c r="M47" s="39">
        <v>205</v>
      </c>
      <c r="N47" s="87">
        <v>592</v>
      </c>
      <c r="O47" s="39">
        <v>0</v>
      </c>
      <c r="P47" s="39">
        <v>294</v>
      </c>
      <c r="Q47" s="87"/>
      <c r="R47" s="39"/>
      <c r="S47" s="39"/>
      <c r="T47" s="39">
        <v>0</v>
      </c>
      <c r="U47" s="88">
        <v>3119</v>
      </c>
      <c r="V47" s="39"/>
      <c r="W47" s="39"/>
      <c r="X47" s="39"/>
    </row>
    <row r="48" spans="1:24" ht="12">
      <c r="A48" s="89" t="s">
        <v>73</v>
      </c>
      <c r="B48" s="39">
        <v>0</v>
      </c>
      <c r="C48" s="87"/>
      <c r="D48" s="39">
        <v>0</v>
      </c>
      <c r="E48" s="87"/>
      <c r="F48" s="39"/>
      <c r="G48" s="39">
        <v>0</v>
      </c>
      <c r="H48" s="89"/>
      <c r="I48" s="39">
        <v>0</v>
      </c>
      <c r="J48" s="39">
        <v>0</v>
      </c>
      <c r="K48" s="87"/>
      <c r="L48" s="39">
        <v>360</v>
      </c>
      <c r="M48" s="39">
        <v>0</v>
      </c>
      <c r="N48" s="87"/>
      <c r="O48" s="39">
        <v>0</v>
      </c>
      <c r="P48" s="39">
        <v>0</v>
      </c>
      <c r="Q48" s="87"/>
      <c r="R48" s="39"/>
      <c r="S48" s="39"/>
      <c r="T48" s="39">
        <v>0</v>
      </c>
      <c r="U48" s="88">
        <v>360</v>
      </c>
      <c r="V48" s="39"/>
      <c r="W48" s="39"/>
      <c r="X48" s="39"/>
    </row>
    <row r="49" spans="1:24" ht="12">
      <c r="A49" s="90" t="s">
        <v>74</v>
      </c>
      <c r="B49" s="51">
        <v>1335</v>
      </c>
      <c r="C49" s="51"/>
      <c r="D49" s="51">
        <v>483</v>
      </c>
      <c r="E49" s="51">
        <v>1272</v>
      </c>
      <c r="F49" s="51">
        <v>7351</v>
      </c>
      <c r="G49" s="51">
        <v>2077</v>
      </c>
      <c r="H49" s="51">
        <v>7842</v>
      </c>
      <c r="I49" s="51">
        <v>7534</v>
      </c>
      <c r="J49" s="51">
        <v>9494</v>
      </c>
      <c r="K49" s="51">
        <v>1183</v>
      </c>
      <c r="L49" s="51">
        <v>2165</v>
      </c>
      <c r="M49" s="51">
        <v>1087</v>
      </c>
      <c r="N49" s="51">
        <v>2185</v>
      </c>
      <c r="O49" s="51">
        <v>3299</v>
      </c>
      <c r="P49" s="51">
        <v>5207</v>
      </c>
      <c r="Q49" s="51"/>
      <c r="R49" s="51">
        <v>6113</v>
      </c>
      <c r="S49" s="51">
        <v>742</v>
      </c>
      <c r="T49" s="51">
        <v>467</v>
      </c>
      <c r="U49" s="88">
        <v>59836</v>
      </c>
      <c r="V49" s="51">
        <v>59836</v>
      </c>
      <c r="W49" s="51"/>
      <c r="X49" s="51"/>
    </row>
    <row r="50" spans="1:24" ht="12">
      <c r="A50" s="87" t="s">
        <v>75</v>
      </c>
      <c r="B50" s="91">
        <v>760</v>
      </c>
      <c r="C50" s="87"/>
      <c r="D50" s="91">
        <v>169</v>
      </c>
      <c r="E50" s="87">
        <v>103</v>
      </c>
      <c r="F50" s="91">
        <v>5344</v>
      </c>
      <c r="G50" s="91">
        <v>705</v>
      </c>
      <c r="H50" s="91">
        <v>7389</v>
      </c>
      <c r="I50" s="91">
        <v>5275</v>
      </c>
      <c r="J50" s="91">
        <v>6902</v>
      </c>
      <c r="K50" s="87">
        <v>1</v>
      </c>
      <c r="L50" s="91">
        <v>1222</v>
      </c>
      <c r="M50" s="91">
        <v>559</v>
      </c>
      <c r="N50" s="87">
        <v>552</v>
      </c>
      <c r="O50" s="91">
        <v>1968</v>
      </c>
      <c r="P50" s="39">
        <v>2527</v>
      </c>
      <c r="Q50" s="87"/>
      <c r="R50" s="91">
        <v>3786</v>
      </c>
      <c r="S50" s="91">
        <v>458</v>
      </c>
      <c r="T50" s="91">
        <v>247</v>
      </c>
      <c r="U50" s="92">
        <v>37967</v>
      </c>
      <c r="V50" s="39"/>
      <c r="W50" s="39"/>
      <c r="X50" s="39"/>
    </row>
    <row r="51" spans="1:24" ht="12">
      <c r="A51" s="93" t="s">
        <v>76</v>
      </c>
      <c r="B51" s="94">
        <v>2095</v>
      </c>
      <c r="C51" s="94"/>
      <c r="D51" s="94">
        <v>652</v>
      </c>
      <c r="E51" s="94">
        <v>1375</v>
      </c>
      <c r="F51" s="94">
        <v>12695</v>
      </c>
      <c r="G51" s="94">
        <v>2782</v>
      </c>
      <c r="H51" s="94">
        <v>15231</v>
      </c>
      <c r="I51" s="94">
        <v>12809</v>
      </c>
      <c r="J51" s="94">
        <v>16396</v>
      </c>
      <c r="K51" s="94">
        <v>1184</v>
      </c>
      <c r="L51" s="94">
        <v>3387</v>
      </c>
      <c r="M51" s="94">
        <v>1646</v>
      </c>
      <c r="N51" s="94">
        <v>2737</v>
      </c>
      <c r="O51" s="94">
        <v>5267</v>
      </c>
      <c r="P51" s="94">
        <v>7734</v>
      </c>
      <c r="Q51" s="94"/>
      <c r="R51" s="94">
        <v>9899</v>
      </c>
      <c r="S51" s="94">
        <v>1200</v>
      </c>
      <c r="T51" s="94">
        <v>714</v>
      </c>
      <c r="U51" s="88">
        <v>97803</v>
      </c>
      <c r="V51" s="94"/>
      <c r="W51" s="94"/>
      <c r="X51" s="94"/>
    </row>
    <row r="52" spans="1:24" ht="12">
      <c r="A52" s="95" t="s">
        <v>64</v>
      </c>
      <c r="B52" s="95"/>
      <c r="C52" s="87"/>
      <c r="D52" s="95"/>
      <c r="E52" s="87"/>
      <c r="F52" s="95"/>
      <c r="G52" s="95"/>
      <c r="H52" s="82"/>
      <c r="I52" s="95"/>
      <c r="J52" s="95"/>
      <c r="K52" s="87"/>
      <c r="L52" s="95"/>
      <c r="M52" s="95"/>
      <c r="N52" s="87"/>
      <c r="O52" s="95"/>
      <c r="P52" s="95"/>
      <c r="Q52" s="87"/>
      <c r="R52" s="82"/>
      <c r="S52" s="95"/>
      <c r="T52" s="95"/>
      <c r="U52" s="95"/>
      <c r="V52" s="56"/>
      <c r="W52" s="56"/>
      <c r="X52" s="56"/>
    </row>
    <row r="53" spans="1:24" ht="12">
      <c r="A53" s="84" t="s">
        <v>68</v>
      </c>
      <c r="B53" s="96">
        <v>273</v>
      </c>
      <c r="C53" s="96"/>
      <c r="D53" s="96">
        <v>49</v>
      </c>
      <c r="E53" s="96">
        <v>116</v>
      </c>
      <c r="F53" s="96">
        <v>1225</v>
      </c>
      <c r="G53" s="96">
        <v>168</v>
      </c>
      <c r="H53" s="96">
        <v>923</v>
      </c>
      <c r="I53" s="96">
        <v>1603</v>
      </c>
      <c r="J53" s="96">
        <v>1122</v>
      </c>
      <c r="K53" s="96">
        <v>94</v>
      </c>
      <c r="L53" s="96">
        <v>177</v>
      </c>
      <c r="M53" s="96">
        <v>70</v>
      </c>
      <c r="N53" s="96">
        <v>72</v>
      </c>
      <c r="O53" s="96">
        <v>170</v>
      </c>
      <c r="P53" s="96">
        <v>872</v>
      </c>
      <c r="Q53" s="96"/>
      <c r="R53" s="96">
        <v>881</v>
      </c>
      <c r="S53" s="96">
        <v>106</v>
      </c>
      <c r="T53" s="96">
        <v>19</v>
      </c>
      <c r="U53" s="88">
        <v>7940</v>
      </c>
      <c r="V53" s="39"/>
      <c r="W53" s="39"/>
      <c r="X53" s="39"/>
    </row>
    <row r="54" spans="1:24" ht="12">
      <c r="A54" s="89" t="s">
        <v>69</v>
      </c>
      <c r="B54" s="96">
        <v>182</v>
      </c>
      <c r="C54" s="96"/>
      <c r="D54" s="96">
        <v>58</v>
      </c>
      <c r="E54" s="96">
        <v>74</v>
      </c>
      <c r="F54" s="96">
        <v>899</v>
      </c>
      <c r="G54" s="96">
        <v>112</v>
      </c>
      <c r="H54" s="96">
        <v>762</v>
      </c>
      <c r="I54" s="96">
        <v>1429</v>
      </c>
      <c r="J54" s="96">
        <v>987</v>
      </c>
      <c r="K54" s="96">
        <v>70</v>
      </c>
      <c r="L54" s="96">
        <v>143</v>
      </c>
      <c r="M54" s="96">
        <v>92</v>
      </c>
      <c r="N54" s="96">
        <v>67</v>
      </c>
      <c r="O54" s="96">
        <v>103</v>
      </c>
      <c r="P54" s="96">
        <v>714</v>
      </c>
      <c r="Q54" s="96"/>
      <c r="R54" s="96">
        <v>706</v>
      </c>
      <c r="S54" s="96">
        <v>89</v>
      </c>
      <c r="T54" s="96">
        <v>0</v>
      </c>
      <c r="U54" s="88">
        <v>6487</v>
      </c>
      <c r="V54" s="39"/>
      <c r="W54" s="39"/>
      <c r="X54" s="39"/>
    </row>
    <row r="55" spans="1:24" ht="12">
      <c r="A55" s="89" t="s">
        <v>70</v>
      </c>
      <c r="B55" s="96">
        <v>142</v>
      </c>
      <c r="C55" s="96"/>
      <c r="D55" s="96">
        <v>71</v>
      </c>
      <c r="E55" s="96">
        <v>51</v>
      </c>
      <c r="F55" s="96">
        <v>938</v>
      </c>
      <c r="G55" s="96">
        <v>128</v>
      </c>
      <c r="H55" s="96">
        <v>831</v>
      </c>
      <c r="I55" s="96">
        <v>1196</v>
      </c>
      <c r="J55" s="96">
        <v>855</v>
      </c>
      <c r="K55" s="96">
        <v>0</v>
      </c>
      <c r="L55" s="96">
        <v>149</v>
      </c>
      <c r="M55" s="96">
        <v>100</v>
      </c>
      <c r="N55" s="96">
        <v>64</v>
      </c>
      <c r="O55" s="96">
        <v>93</v>
      </c>
      <c r="P55" s="96">
        <v>575</v>
      </c>
      <c r="Q55" s="96"/>
      <c r="R55" s="96">
        <v>696</v>
      </c>
      <c r="S55" s="96">
        <v>102</v>
      </c>
      <c r="T55" s="96">
        <v>18</v>
      </c>
      <c r="U55" s="88">
        <v>6009</v>
      </c>
      <c r="V55" s="39"/>
      <c r="W55" s="39"/>
      <c r="X55" s="39"/>
    </row>
    <row r="56" spans="1:24" ht="12">
      <c r="A56" s="89" t="s">
        <v>71</v>
      </c>
      <c r="B56" s="96">
        <v>130</v>
      </c>
      <c r="C56" s="96"/>
      <c r="D56" s="96">
        <v>65</v>
      </c>
      <c r="E56" s="96">
        <v>52</v>
      </c>
      <c r="F56" s="96">
        <v>864</v>
      </c>
      <c r="G56" s="96">
        <v>150</v>
      </c>
      <c r="H56" s="96">
        <v>914</v>
      </c>
      <c r="I56" s="96">
        <v>1089</v>
      </c>
      <c r="J56" s="96">
        <v>681</v>
      </c>
      <c r="K56" s="96">
        <v>0</v>
      </c>
      <c r="L56" s="96">
        <v>154</v>
      </c>
      <c r="M56" s="96">
        <v>86</v>
      </c>
      <c r="N56" s="96">
        <v>113</v>
      </c>
      <c r="O56" s="96">
        <v>61</v>
      </c>
      <c r="P56" s="96">
        <v>525</v>
      </c>
      <c r="Q56" s="96"/>
      <c r="R56" s="96">
        <v>621</v>
      </c>
      <c r="S56" s="96">
        <v>66</v>
      </c>
      <c r="T56" s="96">
        <v>19</v>
      </c>
      <c r="U56" s="88">
        <v>5590</v>
      </c>
      <c r="V56" s="42"/>
      <c r="W56" s="42"/>
      <c r="X56" s="42"/>
    </row>
    <row r="57" spans="1:24" ht="12">
      <c r="A57" s="89" t="s">
        <v>72</v>
      </c>
      <c r="B57" s="96">
        <v>126</v>
      </c>
      <c r="C57" s="96"/>
      <c r="D57" s="96">
        <v>65</v>
      </c>
      <c r="E57" s="96">
        <v>0</v>
      </c>
      <c r="F57" s="96">
        <v>0</v>
      </c>
      <c r="G57" s="96">
        <v>76</v>
      </c>
      <c r="H57" s="96">
        <v>0</v>
      </c>
      <c r="I57" s="96">
        <v>941</v>
      </c>
      <c r="J57" s="96">
        <v>0</v>
      </c>
      <c r="K57" s="96">
        <v>0</v>
      </c>
      <c r="L57" s="96">
        <v>145</v>
      </c>
      <c r="M57" s="96">
        <v>88</v>
      </c>
      <c r="N57" s="96">
        <v>108</v>
      </c>
      <c r="O57" s="96">
        <v>0</v>
      </c>
      <c r="P57" s="96">
        <v>121</v>
      </c>
      <c r="Q57" s="96"/>
      <c r="R57" s="96">
        <v>0</v>
      </c>
      <c r="S57" s="96">
        <v>0</v>
      </c>
      <c r="T57" s="96">
        <v>0</v>
      </c>
      <c r="U57" s="88">
        <v>1670</v>
      </c>
      <c r="V57" s="42"/>
      <c r="W57" s="42"/>
      <c r="X57" s="42"/>
    </row>
    <row r="58" spans="1:24" ht="12">
      <c r="A58" s="89" t="s">
        <v>73</v>
      </c>
      <c r="B58" s="96">
        <v>0</v>
      </c>
      <c r="C58" s="96"/>
      <c r="D58" s="96">
        <v>0</v>
      </c>
      <c r="E58" s="96">
        <v>0</v>
      </c>
      <c r="F58" s="96">
        <v>0</v>
      </c>
      <c r="G58" s="96">
        <v>0</v>
      </c>
      <c r="H58" s="96">
        <v>0</v>
      </c>
      <c r="I58" s="96">
        <v>0</v>
      </c>
      <c r="J58" s="96">
        <v>0</v>
      </c>
      <c r="K58" s="96">
        <v>0</v>
      </c>
      <c r="L58" s="96">
        <v>185</v>
      </c>
      <c r="M58" s="96">
        <v>0</v>
      </c>
      <c r="N58" s="96">
        <v>0</v>
      </c>
      <c r="O58" s="96">
        <v>0</v>
      </c>
      <c r="P58" s="96">
        <v>0</v>
      </c>
      <c r="Q58" s="96"/>
      <c r="R58" s="96">
        <v>0</v>
      </c>
      <c r="S58" s="96">
        <v>0</v>
      </c>
      <c r="T58" s="96">
        <v>0</v>
      </c>
      <c r="U58" s="88">
        <v>185</v>
      </c>
      <c r="V58" s="43"/>
      <c r="W58" s="43"/>
      <c r="X58" s="43"/>
    </row>
    <row r="59" spans="1:24" ht="12">
      <c r="A59" s="90" t="s">
        <v>74</v>
      </c>
      <c r="B59" s="97">
        <v>853</v>
      </c>
      <c r="C59" s="97"/>
      <c r="D59" s="97">
        <v>308</v>
      </c>
      <c r="E59" s="97">
        <v>293</v>
      </c>
      <c r="F59" s="97">
        <v>3926</v>
      </c>
      <c r="G59" s="97">
        <v>634</v>
      </c>
      <c r="H59" s="97">
        <v>3430</v>
      </c>
      <c r="I59" s="97">
        <v>6258</v>
      </c>
      <c r="J59" s="97">
        <v>3645</v>
      </c>
      <c r="K59" s="97">
        <v>164</v>
      </c>
      <c r="L59" s="97">
        <v>953</v>
      </c>
      <c r="M59" s="97">
        <v>436</v>
      </c>
      <c r="N59" s="97">
        <v>424</v>
      </c>
      <c r="O59" s="97">
        <v>427</v>
      </c>
      <c r="P59" s="97">
        <v>2807</v>
      </c>
      <c r="Q59" s="97"/>
      <c r="R59" s="97">
        <v>2904</v>
      </c>
      <c r="S59" s="97">
        <v>363</v>
      </c>
      <c r="T59" s="97">
        <v>56</v>
      </c>
      <c r="U59" s="88">
        <v>27881</v>
      </c>
      <c r="V59" s="51">
        <v>27881</v>
      </c>
      <c r="W59" s="98">
        <v>0</v>
      </c>
      <c r="X59" s="99"/>
    </row>
    <row r="60" spans="1:24" ht="12">
      <c r="A60" s="87" t="s">
        <v>75</v>
      </c>
      <c r="B60" s="92">
        <v>609</v>
      </c>
      <c r="C60" s="92"/>
      <c r="D60" s="92">
        <v>102</v>
      </c>
      <c r="E60" s="92">
        <v>17</v>
      </c>
      <c r="F60" s="92">
        <v>3102</v>
      </c>
      <c r="G60" s="92">
        <v>223</v>
      </c>
      <c r="H60" s="92">
        <v>3276</v>
      </c>
      <c r="I60" s="92">
        <v>4659</v>
      </c>
      <c r="J60" s="92">
        <v>2263</v>
      </c>
      <c r="K60" s="92">
        <v>0</v>
      </c>
      <c r="L60" s="92">
        <v>664</v>
      </c>
      <c r="M60" s="92">
        <v>246</v>
      </c>
      <c r="N60" s="92">
        <v>135</v>
      </c>
      <c r="O60" s="92">
        <v>205</v>
      </c>
      <c r="P60" s="92">
        <v>1434</v>
      </c>
      <c r="Q60" s="92"/>
      <c r="R60" s="92">
        <v>1777</v>
      </c>
      <c r="S60" s="92">
        <v>226</v>
      </c>
      <c r="T60" s="92">
        <v>10</v>
      </c>
      <c r="U60" s="88">
        <v>18948</v>
      </c>
      <c r="V60" s="51"/>
      <c r="W60" s="79">
        <v>46829</v>
      </c>
      <c r="X60" s="100"/>
    </row>
    <row r="61" spans="1:24" ht="12">
      <c r="A61" s="93" t="s">
        <v>76</v>
      </c>
      <c r="B61" s="97">
        <v>1462</v>
      </c>
      <c r="C61" s="97"/>
      <c r="D61" s="97">
        <v>410</v>
      </c>
      <c r="E61" s="97">
        <v>310</v>
      </c>
      <c r="F61" s="97">
        <v>7028</v>
      </c>
      <c r="G61" s="97">
        <v>857</v>
      </c>
      <c r="H61" s="97">
        <v>6706</v>
      </c>
      <c r="I61" s="97">
        <v>10917</v>
      </c>
      <c r="J61" s="97">
        <v>5908</v>
      </c>
      <c r="K61" s="97">
        <v>164</v>
      </c>
      <c r="L61" s="97">
        <v>1617</v>
      </c>
      <c r="M61" s="97">
        <v>682</v>
      </c>
      <c r="N61" s="97">
        <v>559</v>
      </c>
      <c r="O61" s="97">
        <v>632</v>
      </c>
      <c r="P61" s="97">
        <v>4241</v>
      </c>
      <c r="Q61" s="97"/>
      <c r="R61" s="97">
        <v>4681</v>
      </c>
      <c r="S61" s="97">
        <v>589</v>
      </c>
      <c r="T61" s="97">
        <v>66</v>
      </c>
      <c r="U61" s="88">
        <v>46829</v>
      </c>
      <c r="V61" s="51">
        <v>46829</v>
      </c>
      <c r="W61" s="94">
        <v>0</v>
      </c>
      <c r="X61" s="94"/>
    </row>
    <row r="62" spans="1:24" ht="12">
      <c r="A62" s="101" t="s">
        <v>65</v>
      </c>
      <c r="B62" s="101"/>
      <c r="C62" s="87"/>
      <c r="D62" s="101"/>
      <c r="E62" s="87"/>
      <c r="F62" s="101"/>
      <c r="G62" s="101"/>
      <c r="H62" s="82"/>
      <c r="I62" s="101"/>
      <c r="J62" s="101"/>
      <c r="K62" s="87"/>
      <c r="L62" s="101"/>
      <c r="M62" s="101"/>
      <c r="N62" s="87"/>
      <c r="O62" s="101"/>
      <c r="P62" s="101"/>
      <c r="Q62" s="87"/>
      <c r="R62" s="82"/>
      <c r="S62" s="101"/>
      <c r="T62" s="101"/>
      <c r="U62" s="102"/>
      <c r="V62" s="56"/>
      <c r="W62" s="56"/>
      <c r="X62" s="56"/>
    </row>
    <row r="63" spans="1:24" ht="12">
      <c r="A63" s="89" t="s">
        <v>68</v>
      </c>
      <c r="B63" s="39">
        <v>199</v>
      </c>
      <c r="C63" s="87"/>
      <c r="D63" s="87">
        <v>32</v>
      </c>
      <c r="E63" s="87">
        <v>321</v>
      </c>
      <c r="F63" s="39">
        <v>1024</v>
      </c>
      <c r="G63" s="39">
        <v>364</v>
      </c>
      <c r="H63" s="39">
        <v>1203</v>
      </c>
      <c r="I63" s="39">
        <v>338</v>
      </c>
      <c r="J63" s="39">
        <v>1574</v>
      </c>
      <c r="K63" s="87">
        <v>581</v>
      </c>
      <c r="L63" s="39">
        <v>237</v>
      </c>
      <c r="M63" s="39">
        <v>116</v>
      </c>
      <c r="N63" s="87">
        <v>246</v>
      </c>
      <c r="O63" s="39">
        <v>990</v>
      </c>
      <c r="P63" s="39">
        <v>640</v>
      </c>
      <c r="Q63" s="87"/>
      <c r="R63" s="39">
        <v>1048</v>
      </c>
      <c r="S63" s="39">
        <v>104</v>
      </c>
      <c r="T63" s="39">
        <v>158</v>
      </c>
      <c r="U63" s="88">
        <v>9175</v>
      </c>
      <c r="V63" s="39"/>
      <c r="W63" s="39"/>
      <c r="X63" s="39"/>
    </row>
    <row r="64" spans="1:24" ht="12">
      <c r="A64" s="89" t="s">
        <v>69</v>
      </c>
      <c r="B64" s="39">
        <v>104</v>
      </c>
      <c r="C64" s="87"/>
      <c r="D64" s="87">
        <v>30</v>
      </c>
      <c r="E64" s="87">
        <v>285</v>
      </c>
      <c r="F64" s="39">
        <v>844</v>
      </c>
      <c r="G64" s="39">
        <v>285</v>
      </c>
      <c r="H64" s="39">
        <v>979</v>
      </c>
      <c r="I64" s="39">
        <v>335</v>
      </c>
      <c r="J64" s="39">
        <v>1363</v>
      </c>
      <c r="K64" s="87">
        <v>438</v>
      </c>
      <c r="L64" s="39">
        <v>208</v>
      </c>
      <c r="M64" s="39">
        <v>132</v>
      </c>
      <c r="N64" s="87">
        <v>273</v>
      </c>
      <c r="O64" s="39">
        <v>706</v>
      </c>
      <c r="P64" s="39">
        <v>594</v>
      </c>
      <c r="Q64" s="87"/>
      <c r="R64" s="39">
        <v>707</v>
      </c>
      <c r="S64" s="39">
        <v>66</v>
      </c>
      <c r="T64" s="39"/>
      <c r="U64" s="88">
        <v>7349</v>
      </c>
      <c r="V64" s="39"/>
      <c r="W64" s="39"/>
      <c r="X64" s="39"/>
    </row>
    <row r="65" spans="1:24" ht="12">
      <c r="A65" s="89" t="s">
        <v>70</v>
      </c>
      <c r="B65" s="39">
        <v>65</v>
      </c>
      <c r="C65" s="87"/>
      <c r="D65" s="87">
        <v>28</v>
      </c>
      <c r="E65" s="87">
        <v>213</v>
      </c>
      <c r="F65" s="39">
        <v>809</v>
      </c>
      <c r="G65" s="39">
        <v>290</v>
      </c>
      <c r="H65" s="39">
        <v>1006</v>
      </c>
      <c r="I65" s="39">
        <v>241</v>
      </c>
      <c r="J65" s="39">
        <v>1462</v>
      </c>
      <c r="K65" s="87"/>
      <c r="L65" s="39">
        <v>203</v>
      </c>
      <c r="M65" s="39">
        <v>151</v>
      </c>
      <c r="N65" s="87">
        <v>266</v>
      </c>
      <c r="O65" s="39">
        <v>680</v>
      </c>
      <c r="P65" s="39">
        <v>533</v>
      </c>
      <c r="Q65" s="87"/>
      <c r="R65" s="39">
        <v>753</v>
      </c>
      <c r="S65" s="39">
        <v>101</v>
      </c>
      <c r="T65" s="39">
        <v>116</v>
      </c>
      <c r="U65" s="88">
        <v>6917</v>
      </c>
      <c r="V65" s="39"/>
      <c r="W65" s="39"/>
      <c r="X65" s="39"/>
    </row>
    <row r="66" spans="1:24" ht="12">
      <c r="A66" s="89" t="s">
        <v>71</v>
      </c>
      <c r="B66" s="39">
        <v>77</v>
      </c>
      <c r="C66" s="87"/>
      <c r="D66" s="87">
        <v>36</v>
      </c>
      <c r="E66" s="87">
        <v>160</v>
      </c>
      <c r="F66" s="39">
        <v>748</v>
      </c>
      <c r="G66" s="39">
        <v>271</v>
      </c>
      <c r="H66" s="39">
        <v>1224</v>
      </c>
      <c r="I66" s="39">
        <v>186</v>
      </c>
      <c r="J66" s="39">
        <v>1450</v>
      </c>
      <c r="K66" s="87"/>
      <c r="L66" s="39">
        <v>209</v>
      </c>
      <c r="M66" s="39">
        <v>135</v>
      </c>
      <c r="N66" s="87">
        <v>492</v>
      </c>
      <c r="O66" s="39">
        <v>496</v>
      </c>
      <c r="P66" s="39">
        <v>460</v>
      </c>
      <c r="Q66" s="87"/>
      <c r="R66" s="39">
        <v>701</v>
      </c>
      <c r="S66" s="39">
        <v>108</v>
      </c>
      <c r="T66" s="39">
        <v>137</v>
      </c>
      <c r="U66" s="88">
        <v>6890</v>
      </c>
      <c r="V66" s="39"/>
      <c r="W66" s="39"/>
      <c r="X66" s="39"/>
    </row>
    <row r="67" spans="1:24" ht="12">
      <c r="A67" s="89" t="s">
        <v>72</v>
      </c>
      <c r="B67" s="39">
        <v>37</v>
      </c>
      <c r="C67" s="87"/>
      <c r="D67" s="87">
        <v>49</v>
      </c>
      <c r="E67" s="87"/>
      <c r="F67" s="39"/>
      <c r="G67" s="39">
        <v>233</v>
      </c>
      <c r="H67" s="39"/>
      <c r="I67" s="39">
        <v>176</v>
      </c>
      <c r="J67" s="87"/>
      <c r="K67" s="87"/>
      <c r="L67" s="39">
        <v>180</v>
      </c>
      <c r="M67" s="39">
        <v>117</v>
      </c>
      <c r="N67" s="87">
        <v>484</v>
      </c>
      <c r="O67" s="39"/>
      <c r="P67" s="39">
        <v>173</v>
      </c>
      <c r="Q67" s="87"/>
      <c r="R67" s="39"/>
      <c r="S67" s="39"/>
      <c r="T67" s="39"/>
      <c r="U67" s="88">
        <v>1449</v>
      </c>
      <c r="V67" s="39"/>
      <c r="W67" s="39"/>
      <c r="X67" s="39"/>
    </row>
    <row r="68" spans="1:24" ht="12">
      <c r="A68" s="89" t="s">
        <v>73</v>
      </c>
      <c r="B68" s="39"/>
      <c r="C68" s="87"/>
      <c r="D68" s="39"/>
      <c r="E68" s="87"/>
      <c r="F68" s="39"/>
      <c r="G68" s="39"/>
      <c r="H68" s="39"/>
      <c r="I68" s="39"/>
      <c r="J68" s="39"/>
      <c r="K68" s="87"/>
      <c r="L68" s="39">
        <v>175</v>
      </c>
      <c r="M68" s="39"/>
      <c r="N68" s="87"/>
      <c r="O68" s="39"/>
      <c r="P68" s="39"/>
      <c r="Q68" s="87"/>
      <c r="R68" s="39"/>
      <c r="S68" s="39"/>
      <c r="T68" s="39"/>
      <c r="U68" s="88">
        <v>175</v>
      </c>
      <c r="V68" s="39"/>
      <c r="W68" s="39"/>
      <c r="X68" s="39"/>
    </row>
    <row r="69" spans="1:24" ht="12">
      <c r="A69" s="90" t="s">
        <v>74</v>
      </c>
      <c r="B69" s="51">
        <v>482</v>
      </c>
      <c r="C69" s="51"/>
      <c r="D69" s="51">
        <v>175</v>
      </c>
      <c r="E69" s="51">
        <v>979</v>
      </c>
      <c r="F69" s="51">
        <v>3425</v>
      </c>
      <c r="G69" s="51">
        <v>1443</v>
      </c>
      <c r="H69" s="51">
        <v>4412</v>
      </c>
      <c r="I69" s="51">
        <v>1276</v>
      </c>
      <c r="J69" s="51">
        <v>5849</v>
      </c>
      <c r="K69" s="51">
        <v>1019</v>
      </c>
      <c r="L69" s="51">
        <v>1212</v>
      </c>
      <c r="M69" s="51">
        <v>651</v>
      </c>
      <c r="N69" s="51">
        <v>1761</v>
      </c>
      <c r="O69" s="51">
        <v>2872</v>
      </c>
      <c r="P69" s="51">
        <v>2400</v>
      </c>
      <c r="Q69" s="51"/>
      <c r="R69" s="51">
        <v>3209</v>
      </c>
      <c r="S69" s="51">
        <v>379</v>
      </c>
      <c r="T69" s="51">
        <v>411</v>
      </c>
      <c r="U69" s="88">
        <v>31955</v>
      </c>
      <c r="V69" s="51">
        <v>31955</v>
      </c>
      <c r="W69" s="51"/>
      <c r="X69" s="51"/>
    </row>
    <row r="70" spans="1:24" ht="12">
      <c r="A70" s="87" t="s">
        <v>75</v>
      </c>
      <c r="B70" s="39">
        <v>151</v>
      </c>
      <c r="C70" s="87"/>
      <c r="D70" s="39">
        <v>67</v>
      </c>
      <c r="E70" s="87">
        <v>86</v>
      </c>
      <c r="F70" s="39">
        <v>2242</v>
      </c>
      <c r="G70" s="39">
        <v>482</v>
      </c>
      <c r="H70" s="39">
        <v>4113</v>
      </c>
      <c r="I70" s="39">
        <v>616</v>
      </c>
      <c r="J70" s="39">
        <v>4639</v>
      </c>
      <c r="K70" s="87">
        <v>1</v>
      </c>
      <c r="L70" s="39">
        <v>558</v>
      </c>
      <c r="M70" s="39">
        <v>313</v>
      </c>
      <c r="N70" s="87">
        <v>417</v>
      </c>
      <c r="O70" s="39">
        <v>1763</v>
      </c>
      <c r="P70" s="87">
        <v>1093</v>
      </c>
      <c r="Q70" s="87"/>
      <c r="R70" s="39">
        <v>2009</v>
      </c>
      <c r="S70" s="39">
        <v>232</v>
      </c>
      <c r="T70" s="39">
        <v>237</v>
      </c>
      <c r="U70" s="88">
        <v>19019</v>
      </c>
      <c r="V70" s="51">
        <v>19019</v>
      </c>
      <c r="W70" s="39"/>
      <c r="X70" s="39"/>
    </row>
    <row r="71" spans="1:24" ht="12">
      <c r="A71" s="103" t="s">
        <v>76</v>
      </c>
      <c r="B71" s="103">
        <v>633</v>
      </c>
      <c r="C71" s="103"/>
      <c r="D71" s="103">
        <v>242</v>
      </c>
      <c r="E71" s="103">
        <v>1065</v>
      </c>
      <c r="F71" s="103">
        <v>5667</v>
      </c>
      <c r="G71" s="103">
        <v>1925</v>
      </c>
      <c r="H71" s="103">
        <v>8525</v>
      </c>
      <c r="I71" s="103">
        <v>1892</v>
      </c>
      <c r="J71" s="103">
        <v>10488</v>
      </c>
      <c r="K71" s="103">
        <v>1020</v>
      </c>
      <c r="L71" s="103">
        <v>1770</v>
      </c>
      <c r="M71" s="103">
        <v>964</v>
      </c>
      <c r="N71" s="103">
        <v>2178</v>
      </c>
      <c r="O71" s="103">
        <v>4635</v>
      </c>
      <c r="P71" s="103">
        <v>3493</v>
      </c>
      <c r="Q71" s="103"/>
      <c r="R71" s="103">
        <v>5218</v>
      </c>
      <c r="S71" s="103">
        <v>611</v>
      </c>
      <c r="T71" s="103">
        <v>648</v>
      </c>
      <c r="U71" s="103">
        <v>50974</v>
      </c>
      <c r="V71" s="51">
        <v>50974</v>
      </c>
      <c r="W71" s="103"/>
      <c r="X71" s="103"/>
    </row>
    <row r="72" spans="1:24" ht="12">
      <c r="A72" s="26"/>
      <c r="B72" s="39">
        <v>0</v>
      </c>
      <c r="C72" s="39"/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/>
      <c r="R72" s="39">
        <v>0</v>
      </c>
      <c r="S72" s="39">
        <v>0</v>
      </c>
      <c r="T72" s="39">
        <v>0</v>
      </c>
      <c r="U72" s="39">
        <v>0</v>
      </c>
      <c r="V72" s="26"/>
      <c r="W72" s="26"/>
      <c r="X72" s="26"/>
    </row>
    <row r="73" spans="1:24" ht="12">
      <c r="A73" s="26"/>
      <c r="B73" s="39">
        <v>0</v>
      </c>
      <c r="C73" s="39"/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/>
      <c r="R73" s="39">
        <v>0</v>
      </c>
      <c r="S73" s="39">
        <v>0</v>
      </c>
      <c r="T73" s="39">
        <v>0</v>
      </c>
      <c r="U73" s="39">
        <v>0</v>
      </c>
      <c r="V73" s="26"/>
      <c r="W73" s="26"/>
      <c r="X73" s="26"/>
    </row>
    <row r="74" spans="1:24" ht="12">
      <c r="A74" s="26"/>
      <c r="B74" s="26"/>
      <c r="C74" s="26"/>
      <c r="D74" s="26"/>
      <c r="E74" s="26"/>
      <c r="F74" s="26"/>
      <c r="G74" s="26"/>
      <c r="H74" s="39">
        <v>0</v>
      </c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</row>
    <row r="75" spans="1:24" ht="12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</row>
    <row r="76" spans="1:24" ht="12">
      <c r="A76" s="26"/>
      <c r="B76" s="26"/>
      <c r="C76" s="26"/>
      <c r="D76" s="26"/>
      <c r="E76" s="26"/>
      <c r="F76" s="26"/>
      <c r="G76" s="26"/>
      <c r="H76" s="39">
        <v>0</v>
      </c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</row>
    <row r="77" spans="1:24" ht="12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</row>
    <row r="78" spans="1:24" ht="12">
      <c r="A78" s="81"/>
      <c r="B78" s="81"/>
      <c r="C78" s="83"/>
      <c r="D78" s="81"/>
      <c r="E78" s="83"/>
      <c r="F78" s="81"/>
      <c r="G78" s="81"/>
      <c r="H78" s="82"/>
      <c r="I78" s="81"/>
      <c r="J78" s="83"/>
      <c r="K78" s="83"/>
      <c r="L78" s="83"/>
      <c r="M78" s="83"/>
      <c r="N78" s="83"/>
      <c r="O78" s="81"/>
      <c r="P78" s="83"/>
      <c r="Q78" s="83"/>
      <c r="R78" s="82"/>
      <c r="S78" s="81"/>
      <c r="T78" s="81"/>
      <c r="U78" s="81"/>
      <c r="V78" s="21"/>
      <c r="W78" s="21"/>
      <c r="X78" s="21"/>
    </row>
    <row r="79" spans="1:24" ht="12">
      <c r="A79" s="84"/>
      <c r="B79" s="85"/>
      <c r="C79" s="87"/>
      <c r="D79" s="87"/>
      <c r="E79" s="87"/>
      <c r="F79" s="85"/>
      <c r="G79" s="85"/>
      <c r="H79" s="84"/>
      <c r="I79" s="85"/>
      <c r="J79" s="86"/>
      <c r="K79" s="87"/>
      <c r="L79" s="86"/>
      <c r="M79" s="86"/>
      <c r="N79" s="87"/>
      <c r="O79" s="85"/>
      <c r="P79" s="86"/>
      <c r="Q79" s="87"/>
      <c r="R79" s="85"/>
      <c r="S79" s="85"/>
      <c r="T79" s="85"/>
      <c r="U79" s="88"/>
      <c r="V79" s="2"/>
      <c r="W79" s="2"/>
      <c r="X79" s="2"/>
    </row>
    <row r="80" spans="1:24" ht="12">
      <c r="A80" s="89"/>
      <c r="B80" s="39"/>
      <c r="C80" s="87"/>
      <c r="D80" s="87"/>
      <c r="E80" s="87"/>
      <c r="F80" s="39"/>
      <c r="G80" s="39"/>
      <c r="H80" s="89"/>
      <c r="I80" s="39"/>
      <c r="J80" s="39"/>
      <c r="K80" s="87"/>
      <c r="L80" s="39"/>
      <c r="M80" s="39"/>
      <c r="N80" s="87"/>
      <c r="O80" s="39"/>
      <c r="P80" s="39"/>
      <c r="Q80" s="87"/>
      <c r="R80" s="39"/>
      <c r="S80" s="39"/>
      <c r="T80" s="39"/>
      <c r="U80" s="88"/>
      <c r="V80" s="39"/>
      <c r="W80" s="39"/>
      <c r="X80" s="39"/>
    </row>
    <row r="81" spans="1:24" ht="12">
      <c r="A81" s="89"/>
      <c r="B81" s="39"/>
      <c r="C81" s="87"/>
      <c r="D81" s="87"/>
      <c r="E81" s="87"/>
      <c r="F81" s="39"/>
      <c r="G81" s="39"/>
      <c r="H81" s="89"/>
      <c r="I81" s="39"/>
      <c r="J81" s="39"/>
      <c r="K81" s="87"/>
      <c r="L81" s="39"/>
      <c r="M81" s="39"/>
      <c r="N81" s="87"/>
      <c r="O81" s="39"/>
      <c r="P81" s="39"/>
      <c r="Q81" s="87"/>
      <c r="R81" s="39"/>
      <c r="S81" s="39"/>
      <c r="T81" s="39"/>
      <c r="U81" s="88"/>
      <c r="V81" s="39"/>
      <c r="W81" s="39"/>
      <c r="X81" s="39"/>
    </row>
    <row r="82" spans="1:24" ht="12">
      <c r="A82" s="89"/>
      <c r="B82" s="39"/>
      <c r="C82" s="87"/>
      <c r="D82" s="87"/>
      <c r="E82" s="87"/>
      <c r="F82" s="39"/>
      <c r="G82" s="39"/>
      <c r="H82" s="89"/>
      <c r="I82" s="39"/>
      <c r="J82" s="39"/>
      <c r="K82" s="87"/>
      <c r="L82" s="39"/>
      <c r="M82" s="39"/>
      <c r="N82" s="87"/>
      <c r="O82" s="39"/>
      <c r="P82" s="39"/>
      <c r="Q82" s="87"/>
      <c r="R82" s="39"/>
      <c r="S82" s="39"/>
      <c r="T82" s="39"/>
      <c r="U82" s="88"/>
      <c r="V82" s="39"/>
      <c r="W82" s="39"/>
      <c r="X82" s="39"/>
    </row>
    <row r="83" spans="1:24" ht="12">
      <c r="A83" s="89"/>
      <c r="B83" s="39"/>
      <c r="C83" s="87"/>
      <c r="D83" s="87"/>
      <c r="E83" s="87"/>
      <c r="F83" s="39"/>
      <c r="G83" s="39"/>
      <c r="H83" s="89"/>
      <c r="I83" s="39"/>
      <c r="J83" s="39"/>
      <c r="K83" s="87"/>
      <c r="L83" s="39"/>
      <c r="M83" s="39"/>
      <c r="N83" s="87"/>
      <c r="O83" s="39"/>
      <c r="P83" s="39"/>
      <c r="Q83" s="87"/>
      <c r="R83" s="39"/>
      <c r="S83" s="39"/>
      <c r="T83" s="39"/>
      <c r="U83" s="88"/>
      <c r="V83" s="39"/>
      <c r="W83" s="39"/>
      <c r="X83" s="39"/>
    </row>
    <row r="84" spans="1:24" ht="12">
      <c r="A84" s="89"/>
      <c r="B84" s="39"/>
      <c r="C84" s="87"/>
      <c r="D84" s="39"/>
      <c r="E84" s="87"/>
      <c r="F84" s="39"/>
      <c r="G84" s="39"/>
      <c r="H84" s="89"/>
      <c r="I84" s="39"/>
      <c r="J84" s="39"/>
      <c r="K84" s="87"/>
      <c r="L84" s="39"/>
      <c r="M84" s="39"/>
      <c r="N84" s="87"/>
      <c r="O84" s="39"/>
      <c r="P84" s="39"/>
      <c r="Q84" s="87"/>
      <c r="R84" s="39"/>
      <c r="S84" s="39"/>
      <c r="T84" s="39"/>
      <c r="U84" s="88"/>
      <c r="V84" s="39"/>
      <c r="W84" s="39"/>
      <c r="X84" s="39"/>
    </row>
    <row r="85" spans="1:24" ht="12">
      <c r="A85" s="44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50"/>
      <c r="V85" s="51"/>
      <c r="W85" s="45"/>
      <c r="X85" s="45"/>
    </row>
    <row r="86" spans="1:24" ht="12">
      <c r="A86" s="28"/>
      <c r="B86" s="104"/>
      <c r="C86" s="30"/>
      <c r="D86" s="104"/>
      <c r="E86" s="30"/>
      <c r="F86" s="104"/>
      <c r="G86" s="104"/>
      <c r="H86" s="104"/>
      <c r="I86" s="104"/>
      <c r="J86" s="104"/>
      <c r="K86" s="30"/>
      <c r="L86" s="104"/>
      <c r="M86" s="104"/>
      <c r="N86" s="30"/>
      <c r="O86" s="104"/>
      <c r="P86" s="41"/>
      <c r="Q86" s="30"/>
      <c r="R86" s="104"/>
      <c r="S86" s="104"/>
      <c r="T86" s="104"/>
      <c r="U86" s="38"/>
      <c r="V86" s="39"/>
      <c r="W86" s="41"/>
      <c r="X86" s="41"/>
    </row>
    <row r="87" spans="1:24" ht="12">
      <c r="A87" s="48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50"/>
      <c r="V87" s="94"/>
      <c r="W87" s="65"/>
      <c r="X87" s="65"/>
    </row>
    <row r="88" spans="1:24" ht="12">
      <c r="A88" s="54"/>
      <c r="B88" s="54"/>
      <c r="C88" s="30"/>
      <c r="D88" s="54"/>
      <c r="E88" s="30"/>
      <c r="F88" s="54"/>
      <c r="G88" s="54"/>
      <c r="H88" s="55"/>
      <c r="I88" s="54"/>
      <c r="J88" s="54"/>
      <c r="K88" s="30"/>
      <c r="L88" s="54"/>
      <c r="M88" s="54"/>
      <c r="N88" s="30"/>
      <c r="O88" s="54"/>
      <c r="P88" s="54"/>
      <c r="Q88" s="30"/>
      <c r="R88" s="55"/>
      <c r="S88" s="54"/>
      <c r="T88" s="54"/>
      <c r="U88" s="54"/>
      <c r="V88" s="56"/>
      <c r="W88" s="57"/>
      <c r="X88" s="57"/>
    </row>
    <row r="89" spans="1:24" ht="12">
      <c r="A89" s="35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0"/>
      <c r="V89" s="39"/>
      <c r="W89" s="41"/>
      <c r="X89" s="41"/>
    </row>
    <row r="90" spans="1:24" ht="12">
      <c r="A90" s="40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0"/>
      <c r="V90" s="39"/>
      <c r="W90" s="41"/>
      <c r="X90" s="41"/>
    </row>
    <row r="91" spans="1:24" ht="12">
      <c r="A91" s="40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0"/>
      <c r="V91" s="39"/>
      <c r="W91" s="41"/>
      <c r="X91" s="41"/>
    </row>
    <row r="92" spans="1:24" ht="12">
      <c r="A92" s="40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0"/>
      <c r="V92" s="42"/>
      <c r="W92" s="59"/>
      <c r="X92" s="59"/>
    </row>
    <row r="93" spans="1:24" ht="12">
      <c r="A93" s="40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0"/>
      <c r="V93" s="42"/>
      <c r="W93" s="59"/>
      <c r="X93" s="59"/>
    </row>
    <row r="94" spans="1:24" ht="12">
      <c r="A94" s="40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0"/>
      <c r="V94" s="43"/>
      <c r="W94" s="61"/>
      <c r="X94" s="61"/>
    </row>
    <row r="95" spans="1:24" ht="12">
      <c r="A95" s="44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50"/>
      <c r="V95" s="99"/>
      <c r="W95" s="63"/>
      <c r="X95" s="63"/>
    </row>
    <row r="96" spans="1:24" ht="12">
      <c r="A96" s="28"/>
      <c r="B96" s="38"/>
      <c r="C96" s="58"/>
      <c r="D96" s="38"/>
      <c r="E96" s="58"/>
      <c r="F96" s="38"/>
      <c r="G96" s="38"/>
      <c r="H96" s="38"/>
      <c r="I96" s="38"/>
      <c r="J96" s="38"/>
      <c r="K96" s="58"/>
      <c r="L96" s="38"/>
      <c r="M96" s="38"/>
      <c r="N96" s="58"/>
      <c r="O96" s="38"/>
      <c r="P96" s="38"/>
      <c r="Q96" s="58"/>
      <c r="R96" s="38"/>
      <c r="S96" s="38"/>
      <c r="T96" s="38"/>
      <c r="U96" s="50"/>
      <c r="V96" s="100"/>
      <c r="W96" s="64"/>
      <c r="X96" s="64"/>
    </row>
    <row r="97" spans="1:24" ht="12">
      <c r="A97" s="48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94"/>
      <c r="W97" s="65"/>
      <c r="X97" s="65"/>
    </row>
    <row r="98" spans="1:24" ht="12">
      <c r="A98" s="66"/>
      <c r="B98" s="66"/>
      <c r="C98" s="30"/>
      <c r="D98" s="66"/>
      <c r="E98" s="30"/>
      <c r="F98" s="66"/>
      <c r="G98" s="66"/>
      <c r="H98" s="55"/>
      <c r="I98" s="66"/>
      <c r="J98" s="66"/>
      <c r="K98" s="30"/>
      <c r="L98" s="66"/>
      <c r="M98" s="66"/>
      <c r="N98" s="30"/>
      <c r="O98" s="66"/>
      <c r="P98" s="66"/>
      <c r="Q98" s="30"/>
      <c r="R98" s="55"/>
      <c r="S98" s="66"/>
      <c r="T98" s="66"/>
      <c r="U98" s="67"/>
      <c r="V98" s="56"/>
      <c r="W98" s="57"/>
      <c r="X98" s="57"/>
    </row>
    <row r="99" spans="1:24" ht="12">
      <c r="A99" s="40"/>
      <c r="B99" s="41"/>
      <c r="C99" s="30"/>
      <c r="D99" s="30"/>
      <c r="E99" s="30"/>
      <c r="F99" s="41"/>
      <c r="G99" s="41"/>
      <c r="H99" s="41"/>
      <c r="I99" s="41"/>
      <c r="J99" s="41"/>
      <c r="K99" s="30"/>
      <c r="L99" s="41"/>
      <c r="M99" s="41"/>
      <c r="N99" s="30"/>
      <c r="O99" s="41"/>
      <c r="P99" s="41"/>
      <c r="Q99" s="30"/>
      <c r="R99" s="41"/>
      <c r="S99" s="41"/>
      <c r="T99" s="41"/>
      <c r="U99" s="50"/>
      <c r="V99" s="39"/>
      <c r="W99" s="41"/>
      <c r="X99" s="41"/>
    </row>
    <row r="100" spans="1:24" ht="12">
      <c r="A100" s="40"/>
      <c r="B100" s="41"/>
      <c r="C100" s="30"/>
      <c r="D100" s="30"/>
      <c r="E100" s="30"/>
      <c r="F100" s="41"/>
      <c r="G100" s="41"/>
      <c r="H100" s="41"/>
      <c r="I100" s="41"/>
      <c r="J100" s="41"/>
      <c r="K100" s="30"/>
      <c r="L100" s="41"/>
      <c r="M100" s="41"/>
      <c r="N100" s="30"/>
      <c r="O100" s="41"/>
      <c r="P100" s="41"/>
      <c r="Q100" s="30"/>
      <c r="R100" s="41"/>
      <c r="S100" s="41"/>
      <c r="T100" s="41"/>
      <c r="U100" s="50"/>
      <c r="V100" s="39"/>
      <c r="W100" s="41"/>
      <c r="X100" s="41"/>
    </row>
    <row r="101" spans="1:24" ht="12">
      <c r="A101" s="40"/>
      <c r="B101" s="41"/>
      <c r="C101" s="30"/>
      <c r="D101" s="30"/>
      <c r="E101" s="30"/>
      <c r="F101" s="41"/>
      <c r="G101" s="41"/>
      <c r="H101" s="41"/>
      <c r="I101" s="41"/>
      <c r="J101" s="41"/>
      <c r="K101" s="30"/>
      <c r="L101" s="41"/>
      <c r="M101" s="41"/>
      <c r="N101" s="30"/>
      <c r="O101" s="41"/>
      <c r="P101" s="41"/>
      <c r="Q101" s="30"/>
      <c r="R101" s="41"/>
      <c r="S101" s="41"/>
      <c r="T101" s="41"/>
      <c r="U101" s="50"/>
      <c r="V101" s="39"/>
      <c r="W101" s="41"/>
      <c r="X101" s="41"/>
    </row>
    <row r="102" spans="1:24" ht="12">
      <c r="A102" s="40"/>
      <c r="B102" s="41"/>
      <c r="C102" s="30"/>
      <c r="D102" s="30"/>
      <c r="E102" s="30"/>
      <c r="F102" s="41"/>
      <c r="G102" s="41"/>
      <c r="H102" s="41"/>
      <c r="I102" s="41"/>
      <c r="J102" s="41"/>
      <c r="K102" s="30"/>
      <c r="L102" s="41"/>
      <c r="M102" s="41"/>
      <c r="N102" s="30"/>
      <c r="O102" s="41"/>
      <c r="P102" s="41"/>
      <c r="Q102" s="30"/>
      <c r="R102" s="41"/>
      <c r="S102" s="41"/>
      <c r="T102" s="41"/>
      <c r="U102" s="50"/>
      <c r="V102" s="39"/>
      <c r="W102" s="41"/>
      <c r="X102" s="41"/>
    </row>
    <row r="103" spans="1:24" ht="12">
      <c r="A103" s="40"/>
      <c r="B103" s="41"/>
      <c r="C103" s="30"/>
      <c r="D103" s="30"/>
      <c r="E103" s="30"/>
      <c r="F103" s="41"/>
      <c r="G103" s="41"/>
      <c r="H103" s="41"/>
      <c r="I103" s="41"/>
      <c r="J103" s="30"/>
      <c r="K103" s="30"/>
      <c r="L103" s="41"/>
      <c r="M103" s="41"/>
      <c r="N103" s="30"/>
      <c r="O103" s="41"/>
      <c r="P103" s="41"/>
      <c r="Q103" s="30"/>
      <c r="R103" s="41"/>
      <c r="S103" s="41"/>
      <c r="T103" s="41"/>
      <c r="U103" s="50"/>
      <c r="V103" s="39"/>
      <c r="W103" s="41"/>
      <c r="X103" s="41"/>
    </row>
    <row r="104" spans="1:24" ht="12">
      <c r="A104" s="40"/>
      <c r="B104" s="41"/>
      <c r="C104" s="30"/>
      <c r="D104" s="41"/>
      <c r="E104" s="30"/>
      <c r="F104" s="41"/>
      <c r="G104" s="41"/>
      <c r="H104" s="41"/>
      <c r="I104" s="41"/>
      <c r="J104" s="41"/>
      <c r="K104" s="30"/>
      <c r="L104" s="41"/>
      <c r="M104" s="41"/>
      <c r="N104" s="30"/>
      <c r="O104" s="41"/>
      <c r="P104" s="41"/>
      <c r="Q104" s="30"/>
      <c r="R104" s="41"/>
      <c r="S104" s="41"/>
      <c r="T104" s="41"/>
      <c r="U104" s="50"/>
      <c r="V104" s="39"/>
      <c r="W104" s="41"/>
      <c r="X104" s="41"/>
    </row>
    <row r="105" spans="1:24" ht="12">
      <c r="A105" s="44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50"/>
      <c r="V105" s="51"/>
      <c r="W105" s="45"/>
      <c r="X105" s="45"/>
    </row>
    <row r="106" spans="1:24" ht="12">
      <c r="A106" s="28"/>
      <c r="B106" s="41"/>
      <c r="C106" s="30"/>
      <c r="D106" s="41"/>
      <c r="E106" s="30"/>
      <c r="F106" s="41"/>
      <c r="G106" s="41"/>
      <c r="H106" s="41"/>
      <c r="I106" s="41"/>
      <c r="J106" s="41"/>
      <c r="K106" s="30"/>
      <c r="L106" s="41"/>
      <c r="M106" s="41"/>
      <c r="N106" s="30"/>
      <c r="O106" s="41"/>
      <c r="P106" s="30"/>
      <c r="Q106" s="30"/>
      <c r="R106" s="41"/>
      <c r="S106" s="41"/>
      <c r="T106" s="41"/>
      <c r="U106" s="50"/>
      <c r="V106" s="39"/>
      <c r="W106" s="41"/>
      <c r="X106" s="41"/>
    </row>
    <row r="107" spans="1:24" ht="12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103"/>
      <c r="W107" s="71"/>
      <c r="X107" s="71"/>
    </row>
    <row r="108" spans="1:24" ht="12">
      <c r="A108" s="106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8"/>
      <c r="V108" s="51"/>
      <c r="W108" s="45"/>
      <c r="X108" s="45"/>
    </row>
  </sheetData>
  <sheetProtection/>
  <mergeCells count="1">
    <mergeCell ref="A1:N1"/>
  </mergeCells>
  <printOptions/>
  <pageMargins left="0.5511811023622047" right="0.2362204724409449" top="0.5511811023622047" bottom="0.1968503937007874" header="0.5118110236220472" footer="0.2362204724409449"/>
  <pageSetup fitToHeight="1" fitToWidth="1" orientation="portrait" paperSize="9" scale="74" r:id="rId1"/>
  <headerFooter alignWithMargins="0">
    <oddHeader>&amp;R&amp;F</oddHeader>
    <oddFooter>&amp;LComune di Bologna - Dipartimento Programmazione - Settore Statistica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showZeros="0" zoomScalePageLayoutView="0" workbookViewId="0" topLeftCell="A1">
      <pane ySplit="7" topLeftCell="A17" activePane="bottomLeft" state="frozen"/>
      <selection pane="topLeft" activeCell="A1" sqref="A1:IV16384"/>
      <selection pane="bottomLeft" activeCell="O60" sqref="O60"/>
    </sheetView>
  </sheetViews>
  <sheetFormatPr defaultColWidth="10.875" defaultRowHeight="12"/>
  <cols>
    <col min="1" max="1" width="56.625" style="138" customWidth="1"/>
    <col min="2" max="3" width="11.25390625" style="138" customWidth="1"/>
    <col min="4" max="4" width="12.00390625" style="138" customWidth="1"/>
    <col min="5" max="5" width="13.00390625" style="138" customWidth="1"/>
    <col min="6" max="7" width="11.25390625" style="138" customWidth="1"/>
    <col min="8" max="8" width="12.875" style="138" customWidth="1"/>
    <col min="9" max="12" width="11.25390625" style="138" customWidth="1"/>
    <col min="13" max="13" width="8.00390625" style="138" customWidth="1"/>
    <col min="14" max="16384" width="10.875" style="138" customWidth="1"/>
  </cols>
  <sheetData>
    <row r="1" spans="1:13" s="120" customFormat="1" ht="15" customHeight="1">
      <c r="A1" s="227" t="s">
        <v>134</v>
      </c>
      <c r="B1" s="209"/>
      <c r="C1" s="209"/>
      <c r="D1" s="209"/>
      <c r="E1" s="209"/>
      <c r="F1" s="209"/>
      <c r="G1" s="209"/>
      <c r="H1" s="227"/>
      <c r="I1" s="209"/>
      <c r="J1" s="209"/>
      <c r="K1" s="209"/>
      <c r="L1" s="209"/>
      <c r="M1" s="228"/>
    </row>
    <row r="2" spans="1:13" s="131" customFormat="1" ht="15">
      <c r="A2" s="229" t="s">
        <v>156</v>
      </c>
      <c r="B2" s="211"/>
      <c r="C2" s="211"/>
      <c r="D2" s="230"/>
      <c r="E2" s="211"/>
      <c r="F2" s="231"/>
      <c r="G2" s="230"/>
      <c r="H2" s="232"/>
      <c r="I2" s="211"/>
      <c r="J2" s="233"/>
      <c r="K2" s="234" t="s">
        <v>132</v>
      </c>
      <c r="L2" s="211"/>
      <c r="M2" s="236"/>
    </row>
    <row r="3" spans="1:13" s="135" customFormat="1" ht="12">
      <c r="A3" s="237"/>
      <c r="B3" s="268" t="s">
        <v>136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38" t="s">
        <v>103</v>
      </c>
    </row>
    <row r="4" spans="1:12" ht="48">
      <c r="A4" s="237"/>
      <c r="B4" s="265" t="s">
        <v>137</v>
      </c>
      <c r="C4" s="265" t="s">
        <v>138</v>
      </c>
      <c r="D4" s="265" t="s">
        <v>139</v>
      </c>
      <c r="E4" s="265" t="s">
        <v>140</v>
      </c>
      <c r="F4" s="265" t="s">
        <v>141</v>
      </c>
      <c r="G4" s="265" t="s">
        <v>142</v>
      </c>
      <c r="H4" s="265" t="s">
        <v>143</v>
      </c>
      <c r="I4" s="265" t="s">
        <v>144</v>
      </c>
      <c r="J4" s="265" t="s">
        <v>145</v>
      </c>
      <c r="K4" s="265" t="s">
        <v>6</v>
      </c>
      <c r="L4" s="265" t="s">
        <v>146</v>
      </c>
    </row>
    <row r="5" spans="1:13" ht="12">
      <c r="A5" s="237"/>
      <c r="B5" s="239"/>
      <c r="C5" s="212"/>
      <c r="D5" s="212"/>
      <c r="E5" s="212"/>
      <c r="F5" s="212"/>
      <c r="G5" s="212"/>
      <c r="H5" s="212"/>
      <c r="I5" s="239"/>
      <c r="J5" s="212"/>
      <c r="K5" s="212"/>
      <c r="L5" s="212"/>
      <c r="M5" s="239"/>
    </row>
    <row r="6" spans="1:13" ht="12">
      <c r="A6" s="225"/>
      <c r="B6" s="225"/>
      <c r="C6" s="212"/>
      <c r="D6" s="212"/>
      <c r="E6" s="212"/>
      <c r="F6" s="239"/>
      <c r="G6" s="225"/>
      <c r="H6" s="212"/>
      <c r="I6" s="225"/>
      <c r="J6" s="212"/>
      <c r="K6" s="212"/>
      <c r="L6" s="212"/>
      <c r="M6" s="239"/>
    </row>
    <row r="7" spans="1:13" s="131" customFormat="1" ht="12">
      <c r="A7" s="241"/>
      <c r="B7" s="242"/>
      <c r="C7" s="213"/>
      <c r="D7" s="242"/>
      <c r="E7" s="213"/>
      <c r="F7" s="242"/>
      <c r="G7" s="242"/>
      <c r="H7" s="241"/>
      <c r="I7" s="242"/>
      <c r="J7" s="213"/>
      <c r="K7" s="213"/>
      <c r="L7" s="213"/>
      <c r="M7" s="242"/>
    </row>
    <row r="8" spans="1:13" s="135" customFormat="1" ht="12">
      <c r="A8" s="267"/>
      <c r="B8" s="269" t="s">
        <v>54</v>
      </c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</row>
    <row r="9" spans="1:13" s="250" customFormat="1" ht="12">
      <c r="A9" s="244" t="s">
        <v>104</v>
      </c>
      <c r="B9" s="215"/>
      <c r="C9" s="215"/>
      <c r="D9" s="169"/>
      <c r="E9" s="169"/>
      <c r="F9" s="169"/>
      <c r="G9" s="169"/>
      <c r="H9" s="215"/>
      <c r="I9" s="169"/>
      <c r="J9" s="169"/>
      <c r="K9" s="215"/>
      <c r="L9" s="169"/>
      <c r="M9" s="172"/>
    </row>
    <row r="10" spans="1:13" ht="13.5" customHeight="1">
      <c r="A10" s="245" t="s">
        <v>105</v>
      </c>
      <c r="B10" s="215">
        <f aca="true" t="shared" si="0" ref="B10:L12">+B31+B52</f>
        <v>0</v>
      </c>
      <c r="C10" s="215">
        <f t="shared" si="0"/>
        <v>0</v>
      </c>
      <c r="D10" s="215">
        <f t="shared" si="0"/>
        <v>2</v>
      </c>
      <c r="E10" s="215">
        <f t="shared" si="0"/>
        <v>0</v>
      </c>
      <c r="F10" s="215">
        <f t="shared" si="0"/>
        <v>0</v>
      </c>
      <c r="G10" s="215">
        <f t="shared" si="0"/>
        <v>0</v>
      </c>
      <c r="H10" s="215">
        <f t="shared" si="0"/>
        <v>0</v>
      </c>
      <c r="I10" s="215">
        <f t="shared" si="0"/>
        <v>0</v>
      </c>
      <c r="J10" s="215">
        <f t="shared" si="0"/>
        <v>0</v>
      </c>
      <c r="K10" s="215">
        <f t="shared" si="0"/>
        <v>0</v>
      </c>
      <c r="L10" s="215">
        <f t="shared" si="0"/>
        <v>0</v>
      </c>
      <c r="M10" s="172">
        <f>SUM(B10:L10)</f>
        <v>2</v>
      </c>
    </row>
    <row r="11" spans="1:13" ht="12">
      <c r="A11" s="245" t="s">
        <v>115</v>
      </c>
      <c r="B11" s="215">
        <f t="shared" si="0"/>
        <v>17</v>
      </c>
      <c r="C11" s="215">
        <f t="shared" si="0"/>
        <v>41</v>
      </c>
      <c r="D11" s="215">
        <f t="shared" si="0"/>
        <v>21</v>
      </c>
      <c r="E11" s="215">
        <f t="shared" si="0"/>
        <v>186</v>
      </c>
      <c r="F11" s="215">
        <f t="shared" si="0"/>
        <v>100</v>
      </c>
      <c r="G11" s="215">
        <f t="shared" si="0"/>
        <v>182</v>
      </c>
      <c r="H11" s="215">
        <f t="shared" si="0"/>
        <v>32</v>
      </c>
      <c r="I11" s="215">
        <f t="shared" si="0"/>
        <v>43</v>
      </c>
      <c r="J11" s="215">
        <f t="shared" si="0"/>
        <v>39</v>
      </c>
      <c r="K11" s="215">
        <f t="shared" si="0"/>
        <v>32</v>
      </c>
      <c r="L11" s="215">
        <f t="shared" si="0"/>
        <v>62</v>
      </c>
      <c r="M11" s="172">
        <f>SUM(B11:L11)</f>
        <v>755</v>
      </c>
    </row>
    <row r="12" spans="1:13" ht="12">
      <c r="A12" s="245" t="s">
        <v>107</v>
      </c>
      <c r="B12" s="215">
        <f t="shared" si="0"/>
        <v>17</v>
      </c>
      <c r="C12" s="215">
        <f t="shared" si="0"/>
        <v>41</v>
      </c>
      <c r="D12" s="215">
        <f t="shared" si="0"/>
        <v>23</v>
      </c>
      <c r="E12" s="215">
        <f t="shared" si="0"/>
        <v>186</v>
      </c>
      <c r="F12" s="215">
        <f t="shared" si="0"/>
        <v>100</v>
      </c>
      <c r="G12" s="215">
        <f t="shared" si="0"/>
        <v>182</v>
      </c>
      <c r="H12" s="215">
        <f t="shared" si="0"/>
        <v>32</v>
      </c>
      <c r="I12" s="215">
        <f t="shared" si="0"/>
        <v>43</v>
      </c>
      <c r="J12" s="215">
        <f t="shared" si="0"/>
        <v>39</v>
      </c>
      <c r="K12" s="215">
        <f t="shared" si="0"/>
        <v>32</v>
      </c>
      <c r="L12" s="215">
        <f t="shared" si="0"/>
        <v>62</v>
      </c>
      <c r="M12" s="217">
        <f>+M10+M11</f>
        <v>757</v>
      </c>
    </row>
    <row r="13" spans="1:13" ht="12">
      <c r="A13" s="244" t="s">
        <v>151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72"/>
    </row>
    <row r="14" spans="1:13" ht="12">
      <c r="A14" s="245" t="s">
        <v>105</v>
      </c>
      <c r="B14" s="215">
        <f aca="true" t="shared" si="1" ref="B14:L16">+B35+B56</f>
        <v>1424</v>
      </c>
      <c r="C14" s="215">
        <f t="shared" si="1"/>
        <v>5565</v>
      </c>
      <c r="D14" s="215">
        <f t="shared" si="1"/>
        <v>1450</v>
      </c>
      <c r="E14" s="215">
        <f t="shared" si="1"/>
        <v>1028</v>
      </c>
      <c r="F14" s="215">
        <f t="shared" si="1"/>
        <v>6798</v>
      </c>
      <c r="G14" s="215">
        <f t="shared" si="1"/>
        <v>9462</v>
      </c>
      <c r="H14" s="215">
        <f t="shared" si="1"/>
        <v>2037</v>
      </c>
      <c r="I14" s="215">
        <f t="shared" si="1"/>
        <v>2317</v>
      </c>
      <c r="J14" s="215">
        <f t="shared" si="1"/>
        <v>2664</v>
      </c>
      <c r="K14" s="215">
        <f t="shared" si="1"/>
        <v>3559</v>
      </c>
      <c r="L14" s="215">
        <f t="shared" si="1"/>
        <v>3693</v>
      </c>
      <c r="M14" s="172">
        <f>SUM(B14:L14)</f>
        <v>39997</v>
      </c>
    </row>
    <row r="15" spans="1:13" ht="12">
      <c r="A15" s="245" t="s">
        <v>115</v>
      </c>
      <c r="B15" s="215">
        <f t="shared" si="1"/>
        <v>407</v>
      </c>
      <c r="C15" s="215">
        <f t="shared" si="1"/>
        <v>817</v>
      </c>
      <c r="D15" s="215">
        <f t="shared" si="1"/>
        <v>210</v>
      </c>
      <c r="E15" s="215">
        <f t="shared" si="1"/>
        <v>306</v>
      </c>
      <c r="F15" s="215">
        <f t="shared" si="1"/>
        <v>1831</v>
      </c>
      <c r="G15" s="215">
        <f t="shared" si="1"/>
        <v>2088</v>
      </c>
      <c r="H15" s="215">
        <f t="shared" si="1"/>
        <v>382</v>
      </c>
      <c r="I15" s="215">
        <f t="shared" si="1"/>
        <v>248</v>
      </c>
      <c r="J15" s="215">
        <f t="shared" si="1"/>
        <v>501</v>
      </c>
      <c r="K15" s="215">
        <f t="shared" si="1"/>
        <v>816</v>
      </c>
      <c r="L15" s="215">
        <f t="shared" si="1"/>
        <v>454</v>
      </c>
      <c r="M15" s="172">
        <f>SUM(B15:L15)</f>
        <v>8060</v>
      </c>
    </row>
    <row r="16" spans="1:13" ht="12">
      <c r="A16" s="245" t="s">
        <v>107</v>
      </c>
      <c r="B16" s="215">
        <f t="shared" si="1"/>
        <v>1831</v>
      </c>
      <c r="C16" s="215">
        <f t="shared" si="1"/>
        <v>6382</v>
      </c>
      <c r="D16" s="215">
        <f t="shared" si="1"/>
        <v>1660</v>
      </c>
      <c r="E16" s="215">
        <f t="shared" si="1"/>
        <v>1334</v>
      </c>
      <c r="F16" s="215">
        <f t="shared" si="1"/>
        <v>8629</v>
      </c>
      <c r="G16" s="215">
        <f t="shared" si="1"/>
        <v>11550</v>
      </c>
      <c r="H16" s="215">
        <f t="shared" si="1"/>
        <v>2419</v>
      </c>
      <c r="I16" s="215">
        <f t="shared" si="1"/>
        <v>2565</v>
      </c>
      <c r="J16" s="215">
        <f t="shared" si="1"/>
        <v>3165</v>
      </c>
      <c r="K16" s="215">
        <f t="shared" si="1"/>
        <v>4375</v>
      </c>
      <c r="L16" s="215">
        <f t="shared" si="1"/>
        <v>4147</v>
      </c>
      <c r="M16" s="217">
        <f>+M14+M15</f>
        <v>48057</v>
      </c>
    </row>
    <row r="17" spans="1:13" ht="12">
      <c r="A17" s="244" t="s">
        <v>152</v>
      </c>
      <c r="B17" s="169"/>
      <c r="C17" s="215"/>
      <c r="D17" s="215"/>
      <c r="E17" s="215"/>
      <c r="F17" s="169"/>
      <c r="G17" s="169"/>
      <c r="H17" s="169"/>
      <c r="I17" s="169"/>
      <c r="J17" s="172"/>
      <c r="K17" s="215"/>
      <c r="L17" s="172"/>
      <c r="M17" s="172"/>
    </row>
    <row r="18" spans="1:13" ht="12">
      <c r="A18" s="245" t="s">
        <v>105</v>
      </c>
      <c r="B18" s="215">
        <f aca="true" t="shared" si="2" ref="B18:L20">+B39+B60</f>
        <v>738</v>
      </c>
      <c r="C18" s="215">
        <f t="shared" si="2"/>
        <v>2795</v>
      </c>
      <c r="D18" s="215">
        <f t="shared" si="2"/>
        <v>892</v>
      </c>
      <c r="E18" s="215">
        <f t="shared" si="2"/>
        <v>69</v>
      </c>
      <c r="F18" s="215">
        <f t="shared" si="2"/>
        <v>3878</v>
      </c>
      <c r="G18" s="215">
        <f t="shared" si="2"/>
        <v>4479</v>
      </c>
      <c r="H18" s="215">
        <f t="shared" si="2"/>
        <v>1140</v>
      </c>
      <c r="I18" s="215">
        <f t="shared" si="2"/>
        <v>169</v>
      </c>
      <c r="J18" s="215">
        <f t="shared" si="2"/>
        <v>1331</v>
      </c>
      <c r="K18" s="215">
        <f t="shared" si="2"/>
        <v>1828</v>
      </c>
      <c r="L18" s="215">
        <f t="shared" si="2"/>
        <v>1660</v>
      </c>
      <c r="M18" s="172">
        <f>SUM(B18:L18)</f>
        <v>18979</v>
      </c>
    </row>
    <row r="19" spans="1:13" ht="12">
      <c r="A19" s="245" t="s">
        <v>115</v>
      </c>
      <c r="B19" s="215">
        <f t="shared" si="2"/>
        <v>127</v>
      </c>
      <c r="C19" s="215">
        <f t="shared" si="2"/>
        <v>320</v>
      </c>
      <c r="D19" s="215">
        <f t="shared" si="2"/>
        <v>74</v>
      </c>
      <c r="E19" s="215">
        <f t="shared" si="2"/>
        <v>2</v>
      </c>
      <c r="F19" s="215">
        <f t="shared" si="2"/>
        <v>875</v>
      </c>
      <c r="G19" s="215">
        <f t="shared" si="2"/>
        <v>1280</v>
      </c>
      <c r="H19" s="215">
        <f t="shared" si="2"/>
        <v>214</v>
      </c>
      <c r="I19" s="215">
        <f t="shared" si="2"/>
        <v>15</v>
      </c>
      <c r="J19" s="215">
        <f t="shared" si="2"/>
        <v>275</v>
      </c>
      <c r="K19" s="215">
        <f t="shared" si="2"/>
        <v>293</v>
      </c>
      <c r="L19" s="215">
        <f t="shared" si="2"/>
        <v>323</v>
      </c>
      <c r="M19" s="172">
        <f>SUM(B19:L19)</f>
        <v>3798</v>
      </c>
    </row>
    <row r="20" spans="1:13" ht="12">
      <c r="A20" s="245" t="s">
        <v>107</v>
      </c>
      <c r="B20" s="215">
        <f t="shared" si="2"/>
        <v>865</v>
      </c>
      <c r="C20" s="215">
        <f t="shared" si="2"/>
        <v>3115</v>
      </c>
      <c r="D20" s="215">
        <f t="shared" si="2"/>
        <v>966</v>
      </c>
      <c r="E20" s="215">
        <f t="shared" si="2"/>
        <v>71</v>
      </c>
      <c r="F20" s="215">
        <f t="shared" si="2"/>
        <v>4753</v>
      </c>
      <c r="G20" s="215">
        <f t="shared" si="2"/>
        <v>5759</v>
      </c>
      <c r="H20" s="215">
        <f t="shared" si="2"/>
        <v>1354</v>
      </c>
      <c r="I20" s="215">
        <f t="shared" si="2"/>
        <v>184</v>
      </c>
      <c r="J20" s="215">
        <f t="shared" si="2"/>
        <v>1606</v>
      </c>
      <c r="K20" s="215">
        <f t="shared" si="2"/>
        <v>2121</v>
      </c>
      <c r="L20" s="215">
        <f t="shared" si="2"/>
        <v>1983</v>
      </c>
      <c r="M20" s="217">
        <f>+M18+M19</f>
        <v>22777</v>
      </c>
    </row>
    <row r="21" spans="1:13" ht="12">
      <c r="A21" s="244" t="s">
        <v>153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72"/>
    </row>
    <row r="22" spans="1:13" ht="12">
      <c r="A22" s="245" t="s">
        <v>105</v>
      </c>
      <c r="B22" s="215">
        <f aca="true" t="shared" si="3" ref="B22:M23">B43+B64</f>
        <v>406</v>
      </c>
      <c r="C22" s="215">
        <f t="shared" si="3"/>
        <v>0</v>
      </c>
      <c r="D22" s="215">
        <f t="shared" si="3"/>
        <v>1385</v>
      </c>
      <c r="E22" s="215">
        <f t="shared" si="3"/>
        <v>4836</v>
      </c>
      <c r="F22" s="215">
        <f t="shared" si="3"/>
        <v>688</v>
      </c>
      <c r="G22" s="215">
        <f t="shared" si="3"/>
        <v>46</v>
      </c>
      <c r="H22" s="215">
        <f t="shared" si="3"/>
        <v>0</v>
      </c>
      <c r="I22" s="215">
        <f t="shared" si="3"/>
        <v>2802</v>
      </c>
      <c r="J22" s="215">
        <f t="shared" si="3"/>
        <v>1280</v>
      </c>
      <c r="K22" s="215">
        <f t="shared" si="3"/>
        <v>0</v>
      </c>
      <c r="L22" s="215">
        <f t="shared" si="3"/>
        <v>0</v>
      </c>
      <c r="M22" s="215">
        <f t="shared" si="3"/>
        <v>11443</v>
      </c>
    </row>
    <row r="23" spans="1:13" ht="12">
      <c r="A23" s="245" t="s">
        <v>115</v>
      </c>
      <c r="B23" s="215">
        <f t="shared" si="3"/>
        <v>151</v>
      </c>
      <c r="C23" s="215">
        <f t="shared" si="3"/>
        <v>0</v>
      </c>
      <c r="D23" s="215">
        <f t="shared" si="3"/>
        <v>338</v>
      </c>
      <c r="E23" s="215">
        <f t="shared" si="3"/>
        <v>1316</v>
      </c>
      <c r="F23" s="215">
        <f t="shared" si="3"/>
        <v>257</v>
      </c>
      <c r="G23" s="215">
        <f t="shared" si="3"/>
        <v>2</v>
      </c>
      <c r="H23" s="215">
        <f t="shared" si="3"/>
        <v>0</v>
      </c>
      <c r="I23" s="215">
        <f t="shared" si="3"/>
        <v>561</v>
      </c>
      <c r="J23" s="215">
        <f t="shared" si="3"/>
        <v>343</v>
      </c>
      <c r="K23" s="215">
        <f t="shared" si="3"/>
        <v>0</v>
      </c>
      <c r="L23" s="215">
        <f t="shared" si="3"/>
        <v>0</v>
      </c>
      <c r="M23" s="215">
        <f t="shared" si="3"/>
        <v>2968</v>
      </c>
    </row>
    <row r="24" spans="1:13" ht="12">
      <c r="A24" s="245" t="s">
        <v>107</v>
      </c>
      <c r="B24" s="215">
        <f>B22+B23</f>
        <v>557</v>
      </c>
      <c r="C24" s="215">
        <f aca="true" t="shared" si="4" ref="C24:L24">C22+C23</f>
        <v>0</v>
      </c>
      <c r="D24" s="215">
        <f t="shared" si="4"/>
        <v>1723</v>
      </c>
      <c r="E24" s="215">
        <f t="shared" si="4"/>
        <v>6152</v>
      </c>
      <c r="F24" s="215">
        <f t="shared" si="4"/>
        <v>945</v>
      </c>
      <c r="G24" s="215">
        <f t="shared" si="4"/>
        <v>48</v>
      </c>
      <c r="H24" s="215">
        <f t="shared" si="4"/>
        <v>0</v>
      </c>
      <c r="I24" s="215">
        <f t="shared" si="4"/>
        <v>3363</v>
      </c>
      <c r="J24" s="215">
        <f t="shared" si="4"/>
        <v>1623</v>
      </c>
      <c r="K24" s="215">
        <f t="shared" si="4"/>
        <v>0</v>
      </c>
      <c r="L24" s="215">
        <f t="shared" si="4"/>
        <v>0</v>
      </c>
      <c r="M24" s="217">
        <f>+M22+M23</f>
        <v>14411</v>
      </c>
    </row>
    <row r="25" spans="1:13" s="135" customFormat="1" ht="12">
      <c r="A25" s="244" t="s">
        <v>112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51"/>
    </row>
    <row r="26" spans="1:13" s="120" customFormat="1" ht="12">
      <c r="A26" s="245" t="s">
        <v>105</v>
      </c>
      <c r="B26" s="223">
        <f>+B22+B18+B14+B10</f>
        <v>2568</v>
      </c>
      <c r="C26" s="223">
        <f aca="true" t="shared" si="5" ref="C26:M27">+C22+C18+C14+C10</f>
        <v>8360</v>
      </c>
      <c r="D26" s="223">
        <f t="shared" si="5"/>
        <v>3729</v>
      </c>
      <c r="E26" s="223">
        <f t="shared" si="5"/>
        <v>5933</v>
      </c>
      <c r="F26" s="223">
        <f t="shared" si="5"/>
        <v>11364</v>
      </c>
      <c r="G26" s="223">
        <f t="shared" si="5"/>
        <v>13987</v>
      </c>
      <c r="H26" s="223">
        <f t="shared" si="5"/>
        <v>3177</v>
      </c>
      <c r="I26" s="223">
        <f t="shared" si="5"/>
        <v>5288</v>
      </c>
      <c r="J26" s="223">
        <f t="shared" si="5"/>
        <v>5275</v>
      </c>
      <c r="K26" s="223">
        <f t="shared" si="5"/>
        <v>5387</v>
      </c>
      <c r="L26" s="223">
        <f t="shared" si="5"/>
        <v>5353</v>
      </c>
      <c r="M26" s="223">
        <f t="shared" si="5"/>
        <v>70421</v>
      </c>
    </row>
    <row r="27" spans="1:13" ht="12">
      <c r="A27" s="245" t="s">
        <v>115</v>
      </c>
      <c r="B27" s="223">
        <f>+B23+B19+B15+B11</f>
        <v>702</v>
      </c>
      <c r="C27" s="223">
        <f t="shared" si="5"/>
        <v>1178</v>
      </c>
      <c r="D27" s="223">
        <f t="shared" si="5"/>
        <v>643</v>
      </c>
      <c r="E27" s="223">
        <f t="shared" si="5"/>
        <v>1810</v>
      </c>
      <c r="F27" s="223">
        <f t="shared" si="5"/>
        <v>3063</v>
      </c>
      <c r="G27" s="223">
        <f t="shared" si="5"/>
        <v>3552</v>
      </c>
      <c r="H27" s="223">
        <f t="shared" si="5"/>
        <v>628</v>
      </c>
      <c r="I27" s="223">
        <f t="shared" si="5"/>
        <v>867</v>
      </c>
      <c r="J27" s="223">
        <f t="shared" si="5"/>
        <v>1158</v>
      </c>
      <c r="K27" s="223">
        <f t="shared" si="5"/>
        <v>1141</v>
      </c>
      <c r="L27" s="223">
        <f t="shared" si="5"/>
        <v>839</v>
      </c>
      <c r="M27" s="223">
        <f t="shared" si="5"/>
        <v>15581</v>
      </c>
    </row>
    <row r="28" spans="1:13" ht="12">
      <c r="A28" s="245" t="s">
        <v>107</v>
      </c>
      <c r="B28" s="217">
        <f aca="true" t="shared" si="6" ref="B28:L28">+B26+B27</f>
        <v>3270</v>
      </c>
      <c r="C28" s="217">
        <f t="shared" si="6"/>
        <v>9538</v>
      </c>
      <c r="D28" s="217">
        <f t="shared" si="6"/>
        <v>4372</v>
      </c>
      <c r="E28" s="217">
        <f t="shared" si="6"/>
        <v>7743</v>
      </c>
      <c r="F28" s="217">
        <f t="shared" si="6"/>
        <v>14427</v>
      </c>
      <c r="G28" s="217">
        <f t="shared" si="6"/>
        <v>17539</v>
      </c>
      <c r="H28" s="217">
        <f t="shared" si="6"/>
        <v>3805</v>
      </c>
      <c r="I28" s="217">
        <f t="shared" si="6"/>
        <v>6155</v>
      </c>
      <c r="J28" s="217">
        <f t="shared" si="6"/>
        <v>6433</v>
      </c>
      <c r="K28" s="217">
        <f t="shared" si="6"/>
        <v>6528</v>
      </c>
      <c r="L28" s="217">
        <f t="shared" si="6"/>
        <v>6192</v>
      </c>
      <c r="M28" s="217">
        <f>+M26+M27</f>
        <v>86002</v>
      </c>
    </row>
    <row r="29" spans="1:13" ht="12">
      <c r="A29" s="267"/>
      <c r="B29" s="270" t="s">
        <v>114</v>
      </c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</row>
    <row r="30" spans="1:13" s="250" customFormat="1" ht="12">
      <c r="A30" s="244" t="s">
        <v>104</v>
      </c>
      <c r="B30" s="215"/>
      <c r="C30" s="215"/>
      <c r="D30" s="169"/>
      <c r="E30" s="169"/>
      <c r="F30" s="169"/>
      <c r="G30" s="169"/>
      <c r="H30" s="215"/>
      <c r="I30" s="169"/>
      <c r="J30" s="169"/>
      <c r="K30" s="215"/>
      <c r="L30" s="169"/>
      <c r="M30" s="172"/>
    </row>
    <row r="31" spans="1:13" ht="13.5" customHeight="1">
      <c r="A31" s="245" t="s">
        <v>105</v>
      </c>
      <c r="B31" s="215">
        <v>0</v>
      </c>
      <c r="C31" s="215">
        <v>0</v>
      </c>
      <c r="D31" s="169">
        <v>1</v>
      </c>
      <c r="E31" s="169">
        <v>0</v>
      </c>
      <c r="F31" s="169">
        <v>0</v>
      </c>
      <c r="G31" s="169">
        <v>0</v>
      </c>
      <c r="H31" s="215">
        <v>0</v>
      </c>
      <c r="I31" s="215">
        <v>0</v>
      </c>
      <c r="J31" s="169">
        <v>0</v>
      </c>
      <c r="K31" s="169">
        <v>0</v>
      </c>
      <c r="L31" s="169">
        <v>0</v>
      </c>
      <c r="M31" s="172">
        <v>1</v>
      </c>
    </row>
    <row r="32" spans="1:13" ht="12">
      <c r="A32" s="245" t="s">
        <v>115</v>
      </c>
      <c r="B32" s="37">
        <v>10</v>
      </c>
      <c r="C32" s="37">
        <v>19</v>
      </c>
      <c r="D32" s="37">
        <v>5</v>
      </c>
      <c r="E32" s="37">
        <v>61</v>
      </c>
      <c r="F32" s="37">
        <v>85</v>
      </c>
      <c r="G32" s="37">
        <v>70</v>
      </c>
      <c r="H32" s="37">
        <v>0</v>
      </c>
      <c r="I32" s="37">
        <v>26</v>
      </c>
      <c r="J32" s="37">
        <v>5</v>
      </c>
      <c r="K32" s="37">
        <v>17</v>
      </c>
      <c r="L32" s="37">
        <v>21</v>
      </c>
      <c r="M32" s="172">
        <v>319</v>
      </c>
    </row>
    <row r="33" spans="1:13" ht="12">
      <c r="A33" s="245" t="s">
        <v>107</v>
      </c>
      <c r="B33" s="217">
        <f aca="true" t="shared" si="7" ref="B33:L33">+B31+B32</f>
        <v>10</v>
      </c>
      <c r="C33" s="217">
        <f t="shared" si="7"/>
        <v>19</v>
      </c>
      <c r="D33" s="217">
        <f t="shared" si="7"/>
        <v>6</v>
      </c>
      <c r="E33" s="217">
        <f t="shared" si="7"/>
        <v>61</v>
      </c>
      <c r="F33" s="217">
        <f t="shared" si="7"/>
        <v>85</v>
      </c>
      <c r="G33" s="217">
        <f t="shared" si="7"/>
        <v>70</v>
      </c>
      <c r="H33" s="217">
        <f t="shared" si="7"/>
        <v>0</v>
      </c>
      <c r="I33" s="217">
        <f t="shared" si="7"/>
        <v>26</v>
      </c>
      <c r="J33" s="217">
        <f t="shared" si="7"/>
        <v>5</v>
      </c>
      <c r="K33" s="217">
        <f t="shared" si="7"/>
        <v>17</v>
      </c>
      <c r="L33" s="217">
        <f t="shared" si="7"/>
        <v>21</v>
      </c>
      <c r="M33" s="251">
        <f aca="true" t="shared" si="8" ref="M33:M49">SUM(B33:L33)</f>
        <v>320</v>
      </c>
    </row>
    <row r="34" spans="1:13" ht="12">
      <c r="A34" s="244" t="s">
        <v>151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72">
        <f t="shared" si="8"/>
        <v>0</v>
      </c>
    </row>
    <row r="35" spans="1:13" ht="12">
      <c r="A35" s="245" t="s">
        <v>105</v>
      </c>
      <c r="B35" s="223">
        <v>856</v>
      </c>
      <c r="C35" s="223">
        <v>3013</v>
      </c>
      <c r="D35" s="37">
        <v>762</v>
      </c>
      <c r="E35" s="37">
        <v>356</v>
      </c>
      <c r="F35" s="223">
        <v>5029</v>
      </c>
      <c r="G35" s="223">
        <v>3390</v>
      </c>
      <c r="H35" s="37">
        <v>411</v>
      </c>
      <c r="I35" s="37">
        <v>517</v>
      </c>
      <c r="J35" s="37">
        <v>434</v>
      </c>
      <c r="K35" s="223">
        <v>2117</v>
      </c>
      <c r="L35" s="223">
        <v>1211</v>
      </c>
      <c r="M35" s="172">
        <v>18096</v>
      </c>
    </row>
    <row r="36" spans="1:13" ht="12">
      <c r="A36" s="245" t="s">
        <v>115</v>
      </c>
      <c r="B36" s="37">
        <v>258</v>
      </c>
      <c r="C36" s="37">
        <v>480</v>
      </c>
      <c r="D36" s="37">
        <v>116</v>
      </c>
      <c r="E36" s="37">
        <v>114</v>
      </c>
      <c r="F36" s="37">
        <v>1458</v>
      </c>
      <c r="G36" s="37">
        <v>819</v>
      </c>
      <c r="H36" s="37">
        <v>97</v>
      </c>
      <c r="I36" s="37">
        <v>90</v>
      </c>
      <c r="J36" s="37">
        <v>91</v>
      </c>
      <c r="K36" s="37">
        <v>538</v>
      </c>
      <c r="L36" s="37">
        <v>204</v>
      </c>
      <c r="M36" s="172">
        <v>4265</v>
      </c>
    </row>
    <row r="37" spans="1:13" ht="12">
      <c r="A37" s="245" t="s">
        <v>107</v>
      </c>
      <c r="B37" s="217">
        <f aca="true" t="shared" si="9" ref="B37:L37">+B35+B36</f>
        <v>1114</v>
      </c>
      <c r="C37" s="217">
        <f>+C35+C36</f>
        <v>3493</v>
      </c>
      <c r="D37" s="217">
        <f t="shared" si="9"/>
        <v>878</v>
      </c>
      <c r="E37" s="217">
        <f t="shared" si="9"/>
        <v>470</v>
      </c>
      <c r="F37" s="217">
        <f t="shared" si="9"/>
        <v>6487</v>
      </c>
      <c r="G37" s="217">
        <f t="shared" si="9"/>
        <v>4209</v>
      </c>
      <c r="H37" s="217">
        <f t="shared" si="9"/>
        <v>508</v>
      </c>
      <c r="I37" s="217">
        <f t="shared" si="9"/>
        <v>607</v>
      </c>
      <c r="J37" s="217">
        <f t="shared" si="9"/>
        <v>525</v>
      </c>
      <c r="K37" s="217">
        <f t="shared" si="9"/>
        <v>2655</v>
      </c>
      <c r="L37" s="217">
        <f t="shared" si="9"/>
        <v>1415</v>
      </c>
      <c r="M37" s="251">
        <f t="shared" si="8"/>
        <v>22361</v>
      </c>
    </row>
    <row r="38" spans="1:13" ht="12">
      <c r="A38" s="244" t="s">
        <v>152</v>
      </c>
      <c r="B38" s="169"/>
      <c r="C38" s="215"/>
      <c r="D38" s="215"/>
      <c r="E38" s="215"/>
      <c r="F38" s="169"/>
      <c r="G38" s="169"/>
      <c r="H38" s="169"/>
      <c r="I38" s="169"/>
      <c r="J38" s="172"/>
      <c r="K38" s="215"/>
      <c r="L38" s="172"/>
      <c r="M38" s="172">
        <f t="shared" si="8"/>
        <v>0</v>
      </c>
    </row>
    <row r="39" spans="1:13" ht="12">
      <c r="A39" s="245" t="s">
        <v>105</v>
      </c>
      <c r="B39" s="37">
        <v>409</v>
      </c>
      <c r="C39" s="37">
        <v>1438</v>
      </c>
      <c r="D39" s="37">
        <v>487</v>
      </c>
      <c r="E39" s="37">
        <v>16</v>
      </c>
      <c r="F39" s="223">
        <v>2831</v>
      </c>
      <c r="G39" s="37">
        <v>1605</v>
      </c>
      <c r="H39" s="37">
        <v>169</v>
      </c>
      <c r="I39" s="37">
        <v>44</v>
      </c>
      <c r="J39" s="37">
        <v>193</v>
      </c>
      <c r="K39" s="37">
        <v>976</v>
      </c>
      <c r="L39" s="37">
        <v>521</v>
      </c>
      <c r="M39" s="172">
        <v>8689</v>
      </c>
    </row>
    <row r="40" spans="1:13" ht="12">
      <c r="A40" s="245" t="s">
        <v>115</v>
      </c>
      <c r="B40" s="37">
        <v>73</v>
      </c>
      <c r="C40" s="37">
        <v>190</v>
      </c>
      <c r="D40" s="37">
        <v>43</v>
      </c>
      <c r="E40" s="37">
        <v>1</v>
      </c>
      <c r="F40" s="37">
        <v>658</v>
      </c>
      <c r="G40" s="37">
        <v>481</v>
      </c>
      <c r="H40" s="37">
        <v>46</v>
      </c>
      <c r="I40" s="37">
        <v>6</v>
      </c>
      <c r="J40" s="37">
        <v>48</v>
      </c>
      <c r="K40" s="37">
        <v>173</v>
      </c>
      <c r="L40" s="37">
        <v>118</v>
      </c>
      <c r="M40" s="172">
        <v>1837</v>
      </c>
    </row>
    <row r="41" spans="1:13" ht="12">
      <c r="A41" s="245" t="s">
        <v>107</v>
      </c>
      <c r="B41" s="217">
        <f aca="true" t="shared" si="10" ref="B41:L41">+B39+B40</f>
        <v>482</v>
      </c>
      <c r="C41" s="217">
        <f t="shared" si="10"/>
        <v>1628</v>
      </c>
      <c r="D41" s="217">
        <f t="shared" si="10"/>
        <v>530</v>
      </c>
      <c r="E41" s="217">
        <f t="shared" si="10"/>
        <v>17</v>
      </c>
      <c r="F41" s="217">
        <f t="shared" si="10"/>
        <v>3489</v>
      </c>
      <c r="G41" s="217">
        <f t="shared" si="10"/>
        <v>2086</v>
      </c>
      <c r="H41" s="217">
        <f t="shared" si="10"/>
        <v>215</v>
      </c>
      <c r="I41" s="217">
        <f t="shared" si="10"/>
        <v>50</v>
      </c>
      <c r="J41" s="217">
        <f t="shared" si="10"/>
        <v>241</v>
      </c>
      <c r="K41" s="217">
        <f t="shared" si="10"/>
        <v>1149</v>
      </c>
      <c r="L41" s="217">
        <f t="shared" si="10"/>
        <v>639</v>
      </c>
      <c r="M41" s="251">
        <f t="shared" si="8"/>
        <v>10526</v>
      </c>
    </row>
    <row r="42" spans="1:13" ht="12">
      <c r="A42" s="244" t="s">
        <v>153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72">
        <f t="shared" si="8"/>
        <v>0</v>
      </c>
    </row>
    <row r="43" spans="1:13" ht="12">
      <c r="A43" s="245" t="s">
        <v>105</v>
      </c>
      <c r="B43" s="37">
        <v>86</v>
      </c>
      <c r="C43" s="37"/>
      <c r="D43" s="37">
        <v>345</v>
      </c>
      <c r="E43" s="37">
        <v>1591</v>
      </c>
      <c r="F43" s="37">
        <v>289</v>
      </c>
      <c r="G43" s="37">
        <v>3</v>
      </c>
      <c r="H43" s="37"/>
      <c r="I43" s="37">
        <v>1246</v>
      </c>
      <c r="J43" s="37">
        <v>112</v>
      </c>
      <c r="K43" s="37"/>
      <c r="L43" s="37"/>
      <c r="M43" s="172">
        <v>3672</v>
      </c>
    </row>
    <row r="44" spans="1:13" ht="12">
      <c r="A44" s="245" t="s">
        <v>115</v>
      </c>
      <c r="B44" s="37">
        <v>32</v>
      </c>
      <c r="C44" s="37"/>
      <c r="D44" s="37">
        <v>88</v>
      </c>
      <c r="E44" s="37">
        <v>482</v>
      </c>
      <c r="F44" s="37">
        <v>125</v>
      </c>
      <c r="G44" s="37">
        <v>1</v>
      </c>
      <c r="H44" s="37"/>
      <c r="I44" s="37">
        <v>250</v>
      </c>
      <c r="J44" s="37">
        <v>30</v>
      </c>
      <c r="K44" s="37"/>
      <c r="L44" s="37"/>
      <c r="M44" s="172">
        <v>1008</v>
      </c>
    </row>
    <row r="45" spans="1:13" ht="12">
      <c r="A45" s="245" t="s">
        <v>107</v>
      </c>
      <c r="B45" s="217">
        <f aca="true" t="shared" si="11" ref="B45:L45">+B43+B44</f>
        <v>118</v>
      </c>
      <c r="C45" s="217">
        <f t="shared" si="11"/>
        <v>0</v>
      </c>
      <c r="D45" s="217">
        <f t="shared" si="11"/>
        <v>433</v>
      </c>
      <c r="E45" s="217">
        <f t="shared" si="11"/>
        <v>2073</v>
      </c>
      <c r="F45" s="217">
        <f t="shared" si="11"/>
        <v>414</v>
      </c>
      <c r="G45" s="217">
        <f t="shared" si="11"/>
        <v>4</v>
      </c>
      <c r="H45" s="217">
        <f t="shared" si="11"/>
        <v>0</v>
      </c>
      <c r="I45" s="217">
        <f t="shared" si="11"/>
        <v>1496</v>
      </c>
      <c r="J45" s="217">
        <f t="shared" si="11"/>
        <v>142</v>
      </c>
      <c r="K45" s="217">
        <f t="shared" si="11"/>
        <v>0</v>
      </c>
      <c r="L45" s="217">
        <f t="shared" si="11"/>
        <v>0</v>
      </c>
      <c r="M45" s="251">
        <f t="shared" si="8"/>
        <v>4680</v>
      </c>
    </row>
    <row r="46" spans="1:13" s="135" customFormat="1" ht="12">
      <c r="A46" s="244" t="s">
        <v>112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172">
        <f t="shared" si="8"/>
        <v>0</v>
      </c>
    </row>
    <row r="47" spans="1:13" s="135" customFormat="1" ht="12">
      <c r="A47" s="245" t="s">
        <v>105</v>
      </c>
      <c r="B47" s="223">
        <f>B31+B35+B39+B43</f>
        <v>1351</v>
      </c>
      <c r="C47" s="223">
        <f aca="true" t="shared" si="12" ref="C47:L48">C31+C35+C39+C43</f>
        <v>4451</v>
      </c>
      <c r="D47" s="223">
        <f t="shared" si="12"/>
        <v>1595</v>
      </c>
      <c r="E47" s="223">
        <f t="shared" si="12"/>
        <v>1963</v>
      </c>
      <c r="F47" s="223">
        <f t="shared" si="12"/>
        <v>8149</v>
      </c>
      <c r="G47" s="223">
        <f t="shared" si="12"/>
        <v>4998</v>
      </c>
      <c r="H47" s="223">
        <f t="shared" si="12"/>
        <v>580</v>
      </c>
      <c r="I47" s="223">
        <f t="shared" si="12"/>
        <v>1807</v>
      </c>
      <c r="J47" s="223">
        <f t="shared" si="12"/>
        <v>739</v>
      </c>
      <c r="K47" s="223">
        <f t="shared" si="12"/>
        <v>3093</v>
      </c>
      <c r="L47" s="223">
        <f t="shared" si="12"/>
        <v>1732</v>
      </c>
      <c r="M47" s="172">
        <f t="shared" si="8"/>
        <v>30458</v>
      </c>
    </row>
    <row r="48" spans="1:13" s="135" customFormat="1" ht="12">
      <c r="A48" s="245" t="s">
        <v>115</v>
      </c>
      <c r="B48" s="223">
        <f>B32+B36+B40+B44</f>
        <v>373</v>
      </c>
      <c r="C48" s="223">
        <f t="shared" si="12"/>
        <v>689</v>
      </c>
      <c r="D48" s="223">
        <f t="shared" si="12"/>
        <v>252</v>
      </c>
      <c r="E48" s="223">
        <f t="shared" si="12"/>
        <v>658</v>
      </c>
      <c r="F48" s="223">
        <f t="shared" si="12"/>
        <v>2326</v>
      </c>
      <c r="G48" s="223">
        <f t="shared" si="12"/>
        <v>1371</v>
      </c>
      <c r="H48" s="223">
        <f t="shared" si="12"/>
        <v>143</v>
      </c>
      <c r="I48" s="223">
        <f t="shared" si="12"/>
        <v>372</v>
      </c>
      <c r="J48" s="223">
        <f t="shared" si="12"/>
        <v>174</v>
      </c>
      <c r="K48" s="223">
        <f t="shared" si="12"/>
        <v>728</v>
      </c>
      <c r="L48" s="223">
        <f t="shared" si="12"/>
        <v>343</v>
      </c>
      <c r="M48" s="172">
        <f t="shared" si="8"/>
        <v>7429</v>
      </c>
    </row>
    <row r="49" spans="1:13" s="135" customFormat="1" ht="12">
      <c r="A49" s="245" t="s">
        <v>107</v>
      </c>
      <c r="B49" s="217">
        <f aca="true" t="shared" si="13" ref="B49:L49">+B47+B48</f>
        <v>1724</v>
      </c>
      <c r="C49" s="217">
        <f>+C47+C48</f>
        <v>5140</v>
      </c>
      <c r="D49" s="217">
        <f t="shared" si="13"/>
        <v>1847</v>
      </c>
      <c r="E49" s="217">
        <f t="shared" si="13"/>
        <v>2621</v>
      </c>
      <c r="F49" s="217">
        <f t="shared" si="13"/>
        <v>10475</v>
      </c>
      <c r="G49" s="217">
        <f t="shared" si="13"/>
        <v>6369</v>
      </c>
      <c r="H49" s="217">
        <f t="shared" si="13"/>
        <v>723</v>
      </c>
      <c r="I49" s="217">
        <f t="shared" si="13"/>
        <v>2179</v>
      </c>
      <c r="J49" s="217">
        <f t="shared" si="13"/>
        <v>913</v>
      </c>
      <c r="K49" s="217">
        <f t="shared" si="13"/>
        <v>3821</v>
      </c>
      <c r="L49" s="217">
        <f t="shared" si="13"/>
        <v>2075</v>
      </c>
      <c r="M49" s="251">
        <f t="shared" si="8"/>
        <v>37887</v>
      </c>
    </row>
    <row r="50" spans="1:13" s="135" customFormat="1" ht="12">
      <c r="A50" s="267"/>
      <c r="B50" s="270" t="s">
        <v>65</v>
      </c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</row>
    <row r="51" spans="1:13" s="250" customFormat="1" ht="12">
      <c r="A51" s="244" t="s">
        <v>104</v>
      </c>
      <c r="B51" s="215"/>
      <c r="C51" s="215"/>
      <c r="D51" s="169"/>
      <c r="E51" s="169"/>
      <c r="F51" s="169"/>
      <c r="G51" s="169"/>
      <c r="H51" s="215"/>
      <c r="I51" s="169"/>
      <c r="J51" s="169"/>
      <c r="K51" s="215"/>
      <c r="L51" s="169"/>
      <c r="M51" s="172"/>
    </row>
    <row r="52" spans="1:13" ht="13.5" customHeight="1">
      <c r="A52" s="245" t="s">
        <v>105</v>
      </c>
      <c r="B52" s="37">
        <v>0</v>
      </c>
      <c r="C52" s="37">
        <v>0</v>
      </c>
      <c r="D52" s="37">
        <v>1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172">
        <v>1</v>
      </c>
    </row>
    <row r="53" spans="1:13" ht="12">
      <c r="A53" s="245" t="s">
        <v>115</v>
      </c>
      <c r="B53" s="37">
        <v>7</v>
      </c>
      <c r="C53" s="37">
        <v>22</v>
      </c>
      <c r="D53" s="37">
        <v>16</v>
      </c>
      <c r="E53" s="37">
        <v>125</v>
      </c>
      <c r="F53" s="37">
        <v>15</v>
      </c>
      <c r="G53" s="37">
        <v>112</v>
      </c>
      <c r="H53" s="37">
        <v>32</v>
      </c>
      <c r="I53" s="37">
        <v>17</v>
      </c>
      <c r="J53" s="37">
        <v>34</v>
      </c>
      <c r="K53" s="37">
        <v>15</v>
      </c>
      <c r="L53" s="37">
        <v>41</v>
      </c>
      <c r="M53" s="172">
        <v>436</v>
      </c>
    </row>
    <row r="54" spans="1:13" ht="12">
      <c r="A54" s="245" t="s">
        <v>107</v>
      </c>
      <c r="B54" s="217">
        <f aca="true" t="shared" si="14" ref="B54:L54">+B52+B53</f>
        <v>7</v>
      </c>
      <c r="C54" s="217">
        <f t="shared" si="14"/>
        <v>22</v>
      </c>
      <c r="D54" s="217">
        <f t="shared" si="14"/>
        <v>17</v>
      </c>
      <c r="E54" s="217">
        <f t="shared" si="14"/>
        <v>125</v>
      </c>
      <c r="F54" s="217">
        <f t="shared" si="14"/>
        <v>15</v>
      </c>
      <c r="G54" s="217">
        <f t="shared" si="14"/>
        <v>112</v>
      </c>
      <c r="H54" s="217">
        <f t="shared" si="14"/>
        <v>32</v>
      </c>
      <c r="I54" s="217">
        <f t="shared" si="14"/>
        <v>17</v>
      </c>
      <c r="J54" s="217">
        <f t="shared" si="14"/>
        <v>34</v>
      </c>
      <c r="K54" s="217">
        <f t="shared" si="14"/>
        <v>15</v>
      </c>
      <c r="L54" s="217">
        <f t="shared" si="14"/>
        <v>41</v>
      </c>
      <c r="M54" s="172">
        <f aca="true" t="shared" si="15" ref="M54:M69">SUM(B54:L54)</f>
        <v>437</v>
      </c>
    </row>
    <row r="55" spans="1:13" ht="12">
      <c r="A55" s="244" t="s">
        <v>151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72">
        <f t="shared" si="15"/>
        <v>0</v>
      </c>
    </row>
    <row r="56" spans="1:13" ht="12">
      <c r="A56" s="245" t="s">
        <v>105</v>
      </c>
      <c r="B56" s="37">
        <v>568</v>
      </c>
      <c r="C56" s="37">
        <v>2552</v>
      </c>
      <c r="D56" s="37">
        <v>688</v>
      </c>
      <c r="E56" s="37">
        <v>672</v>
      </c>
      <c r="F56" s="37">
        <v>1769</v>
      </c>
      <c r="G56" s="37">
        <v>6072</v>
      </c>
      <c r="H56" s="37">
        <v>1626</v>
      </c>
      <c r="I56" s="37">
        <v>1800</v>
      </c>
      <c r="J56" s="37">
        <v>2230</v>
      </c>
      <c r="K56" s="37">
        <v>1442</v>
      </c>
      <c r="L56" s="37">
        <v>2482</v>
      </c>
      <c r="M56" s="172">
        <v>21901</v>
      </c>
    </row>
    <row r="57" spans="1:13" ht="12">
      <c r="A57" s="245" t="s">
        <v>115</v>
      </c>
      <c r="B57" s="37">
        <v>149</v>
      </c>
      <c r="C57" s="37">
        <v>337</v>
      </c>
      <c r="D57" s="37">
        <v>94</v>
      </c>
      <c r="E57" s="37">
        <v>192</v>
      </c>
      <c r="F57" s="37">
        <v>373</v>
      </c>
      <c r="G57" s="37">
        <v>1269</v>
      </c>
      <c r="H57" s="37">
        <v>285</v>
      </c>
      <c r="I57" s="37">
        <v>158</v>
      </c>
      <c r="J57" s="37">
        <v>410</v>
      </c>
      <c r="K57" s="37">
        <v>278</v>
      </c>
      <c r="L57" s="37">
        <v>250</v>
      </c>
      <c r="M57" s="172">
        <v>3795</v>
      </c>
    </row>
    <row r="58" spans="1:13" ht="12">
      <c r="A58" s="245" t="s">
        <v>107</v>
      </c>
      <c r="B58" s="217">
        <f aca="true" t="shared" si="16" ref="B58:L58">+B56+B57</f>
        <v>717</v>
      </c>
      <c r="C58" s="217">
        <f t="shared" si="16"/>
        <v>2889</v>
      </c>
      <c r="D58" s="217">
        <f t="shared" si="16"/>
        <v>782</v>
      </c>
      <c r="E58" s="217">
        <f t="shared" si="16"/>
        <v>864</v>
      </c>
      <c r="F58" s="217">
        <f t="shared" si="16"/>
        <v>2142</v>
      </c>
      <c r="G58" s="217">
        <f t="shared" si="16"/>
        <v>7341</v>
      </c>
      <c r="H58" s="217">
        <f>+H56+H57</f>
        <v>1911</v>
      </c>
      <c r="I58" s="217">
        <f t="shared" si="16"/>
        <v>1958</v>
      </c>
      <c r="J58" s="217">
        <f t="shared" si="16"/>
        <v>2640</v>
      </c>
      <c r="K58" s="217">
        <f t="shared" si="16"/>
        <v>1720</v>
      </c>
      <c r="L58" s="217">
        <f t="shared" si="16"/>
        <v>2732</v>
      </c>
      <c r="M58" s="172">
        <f t="shared" si="15"/>
        <v>25696</v>
      </c>
    </row>
    <row r="59" spans="1:13" ht="12">
      <c r="A59" s="244" t="s">
        <v>152</v>
      </c>
      <c r="B59" s="169"/>
      <c r="C59" s="215"/>
      <c r="D59" s="215"/>
      <c r="E59" s="215"/>
      <c r="F59" s="169"/>
      <c r="G59" s="169"/>
      <c r="H59" s="169"/>
      <c r="I59" s="169"/>
      <c r="J59" s="172"/>
      <c r="K59" s="215"/>
      <c r="L59" s="172"/>
      <c r="M59" s="172">
        <f t="shared" si="15"/>
        <v>0</v>
      </c>
    </row>
    <row r="60" spans="1:13" ht="12">
      <c r="A60" s="245" t="s">
        <v>105</v>
      </c>
      <c r="B60" s="37">
        <v>329</v>
      </c>
      <c r="C60" s="37">
        <v>1357</v>
      </c>
      <c r="D60" s="37">
        <v>405</v>
      </c>
      <c r="E60" s="37">
        <v>53</v>
      </c>
      <c r="F60" s="37">
        <v>1047</v>
      </c>
      <c r="G60" s="37">
        <v>2874</v>
      </c>
      <c r="H60" s="37">
        <v>971</v>
      </c>
      <c r="I60" s="37">
        <v>125</v>
      </c>
      <c r="J60" s="37">
        <v>1138</v>
      </c>
      <c r="K60" s="37">
        <v>852</v>
      </c>
      <c r="L60" s="37">
        <v>1139</v>
      </c>
      <c r="M60" s="172">
        <v>10290</v>
      </c>
    </row>
    <row r="61" spans="1:13" ht="12">
      <c r="A61" s="245" t="s">
        <v>115</v>
      </c>
      <c r="B61" s="37">
        <v>54</v>
      </c>
      <c r="C61" s="37">
        <v>130</v>
      </c>
      <c r="D61" s="37">
        <v>31</v>
      </c>
      <c r="E61" s="37">
        <v>1</v>
      </c>
      <c r="F61" s="37">
        <v>217</v>
      </c>
      <c r="G61" s="37">
        <v>799</v>
      </c>
      <c r="H61" s="37">
        <v>168</v>
      </c>
      <c r="I61" s="37">
        <v>9</v>
      </c>
      <c r="J61" s="37">
        <v>227</v>
      </c>
      <c r="K61" s="37">
        <v>120</v>
      </c>
      <c r="L61" s="37">
        <v>205</v>
      </c>
      <c r="M61" s="172">
        <v>1961</v>
      </c>
    </row>
    <row r="62" spans="1:13" ht="12">
      <c r="A62" s="245" t="s">
        <v>107</v>
      </c>
      <c r="B62" s="217">
        <f aca="true" t="shared" si="17" ref="B62:H62">+B60+B61</f>
        <v>383</v>
      </c>
      <c r="C62" s="217">
        <f t="shared" si="17"/>
        <v>1487</v>
      </c>
      <c r="D62" s="217">
        <f t="shared" si="17"/>
        <v>436</v>
      </c>
      <c r="E62" s="217">
        <f t="shared" si="17"/>
        <v>54</v>
      </c>
      <c r="F62" s="217">
        <f t="shared" si="17"/>
        <v>1264</v>
      </c>
      <c r="G62" s="217">
        <f t="shared" si="17"/>
        <v>3673</v>
      </c>
      <c r="H62" s="217">
        <f t="shared" si="17"/>
        <v>1139</v>
      </c>
      <c r="I62" s="217">
        <f>+I60+I61</f>
        <v>134</v>
      </c>
      <c r="J62" s="217">
        <f>+J60+J61</f>
        <v>1365</v>
      </c>
      <c r="K62" s="217">
        <f>+K60+K61</f>
        <v>972</v>
      </c>
      <c r="L62" s="217">
        <f>+L60+L61</f>
        <v>1344</v>
      </c>
      <c r="M62" s="172">
        <f t="shared" si="15"/>
        <v>12251</v>
      </c>
    </row>
    <row r="63" spans="1:13" ht="12">
      <c r="A63" s="244" t="s">
        <v>153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72">
        <f t="shared" si="15"/>
        <v>0</v>
      </c>
    </row>
    <row r="64" spans="1:13" ht="12">
      <c r="A64" s="245" t="s">
        <v>105</v>
      </c>
      <c r="B64" s="37">
        <v>320</v>
      </c>
      <c r="C64" s="37"/>
      <c r="D64" s="37">
        <v>1040</v>
      </c>
      <c r="E64" s="37">
        <v>3245</v>
      </c>
      <c r="F64" s="37">
        <v>399</v>
      </c>
      <c r="G64" s="37">
        <v>43</v>
      </c>
      <c r="H64" s="37"/>
      <c r="I64" s="37">
        <v>1556</v>
      </c>
      <c r="J64" s="37">
        <v>1168</v>
      </c>
      <c r="K64" s="37"/>
      <c r="L64" s="37"/>
      <c r="M64" s="172">
        <v>7771</v>
      </c>
    </row>
    <row r="65" spans="1:13" ht="12">
      <c r="A65" s="245" t="s">
        <v>115</v>
      </c>
      <c r="B65" s="37">
        <v>119</v>
      </c>
      <c r="C65" s="37"/>
      <c r="D65" s="37">
        <v>250</v>
      </c>
      <c r="E65" s="37">
        <v>834</v>
      </c>
      <c r="F65" s="37">
        <v>132</v>
      </c>
      <c r="G65" s="37">
        <v>1</v>
      </c>
      <c r="H65" s="37"/>
      <c r="I65" s="37">
        <v>311</v>
      </c>
      <c r="J65" s="37">
        <v>313</v>
      </c>
      <c r="K65" s="37"/>
      <c r="L65" s="37"/>
      <c r="M65" s="172">
        <v>1960</v>
      </c>
    </row>
    <row r="66" spans="1:13" ht="12">
      <c r="A66" s="245" t="s">
        <v>107</v>
      </c>
      <c r="B66" s="217">
        <f aca="true" t="shared" si="18" ref="B66:L66">+B64+B65</f>
        <v>439</v>
      </c>
      <c r="C66" s="217">
        <f t="shared" si="18"/>
        <v>0</v>
      </c>
      <c r="D66" s="217">
        <f t="shared" si="18"/>
        <v>1290</v>
      </c>
      <c r="E66" s="217">
        <f t="shared" si="18"/>
        <v>4079</v>
      </c>
      <c r="F66" s="217">
        <f t="shared" si="18"/>
        <v>531</v>
      </c>
      <c r="G66" s="217">
        <f t="shared" si="18"/>
        <v>44</v>
      </c>
      <c r="H66" s="217">
        <f t="shared" si="18"/>
        <v>0</v>
      </c>
      <c r="I66" s="217">
        <f t="shared" si="18"/>
        <v>1867</v>
      </c>
      <c r="J66" s="217">
        <f t="shared" si="18"/>
        <v>1481</v>
      </c>
      <c r="K66" s="217">
        <f t="shared" si="18"/>
        <v>0</v>
      </c>
      <c r="L66" s="217">
        <f t="shared" si="18"/>
        <v>0</v>
      </c>
      <c r="M66" s="172">
        <f t="shared" si="15"/>
        <v>9731</v>
      </c>
    </row>
    <row r="67" spans="1:13" ht="12">
      <c r="A67" s="244" t="s">
        <v>112</v>
      </c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172">
        <f t="shared" si="15"/>
        <v>0</v>
      </c>
    </row>
    <row r="68" spans="1:13" ht="12">
      <c r="A68" s="245" t="s">
        <v>105</v>
      </c>
      <c r="B68" s="223">
        <f>B64+B60+B56+B52</f>
        <v>1217</v>
      </c>
      <c r="C68" s="223">
        <f aca="true" t="shared" si="19" ref="C68:L69">C64+C60+C56+C52</f>
        <v>3909</v>
      </c>
      <c r="D68" s="223">
        <f t="shared" si="19"/>
        <v>2134</v>
      </c>
      <c r="E68" s="223">
        <f t="shared" si="19"/>
        <v>3970</v>
      </c>
      <c r="F68" s="223">
        <f t="shared" si="19"/>
        <v>3215</v>
      </c>
      <c r="G68" s="223">
        <f t="shared" si="19"/>
        <v>8989</v>
      </c>
      <c r="H68" s="223">
        <f t="shared" si="19"/>
        <v>2597</v>
      </c>
      <c r="I68" s="223">
        <f t="shared" si="19"/>
        <v>3481</v>
      </c>
      <c r="J68" s="223">
        <f t="shared" si="19"/>
        <v>4536</v>
      </c>
      <c r="K68" s="223">
        <f t="shared" si="19"/>
        <v>2294</v>
      </c>
      <c r="L68" s="223">
        <f t="shared" si="19"/>
        <v>3621</v>
      </c>
      <c r="M68" s="172">
        <f t="shared" si="15"/>
        <v>39963</v>
      </c>
    </row>
    <row r="69" spans="1:13" ht="12">
      <c r="A69" s="245" t="s">
        <v>115</v>
      </c>
      <c r="B69" s="223">
        <f>B65+B61+B57+B53</f>
        <v>329</v>
      </c>
      <c r="C69" s="223">
        <f t="shared" si="19"/>
        <v>489</v>
      </c>
      <c r="D69" s="223">
        <f t="shared" si="19"/>
        <v>391</v>
      </c>
      <c r="E69" s="223">
        <f t="shared" si="19"/>
        <v>1152</v>
      </c>
      <c r="F69" s="223">
        <f t="shared" si="19"/>
        <v>737</v>
      </c>
      <c r="G69" s="223">
        <f t="shared" si="19"/>
        <v>2181</v>
      </c>
      <c r="H69" s="223">
        <f t="shared" si="19"/>
        <v>485</v>
      </c>
      <c r="I69" s="223">
        <f t="shared" si="19"/>
        <v>495</v>
      </c>
      <c r="J69" s="223">
        <f t="shared" si="19"/>
        <v>984</v>
      </c>
      <c r="K69" s="223">
        <f t="shared" si="19"/>
        <v>413</v>
      </c>
      <c r="L69" s="223">
        <f t="shared" si="19"/>
        <v>496</v>
      </c>
      <c r="M69" s="172">
        <f t="shared" si="15"/>
        <v>8152</v>
      </c>
    </row>
    <row r="70" spans="1:13" ht="12">
      <c r="A70" s="266" t="s">
        <v>107</v>
      </c>
      <c r="B70" s="221">
        <f aca="true" t="shared" si="20" ref="B70:M70">+B68+B69</f>
        <v>1546</v>
      </c>
      <c r="C70" s="221">
        <f t="shared" si="20"/>
        <v>4398</v>
      </c>
      <c r="D70" s="221">
        <f t="shared" si="20"/>
        <v>2525</v>
      </c>
      <c r="E70" s="221">
        <f t="shared" si="20"/>
        <v>5122</v>
      </c>
      <c r="F70" s="221">
        <f t="shared" si="20"/>
        <v>3952</v>
      </c>
      <c r="G70" s="221">
        <f t="shared" si="20"/>
        <v>11170</v>
      </c>
      <c r="H70" s="221">
        <f t="shared" si="20"/>
        <v>3082</v>
      </c>
      <c r="I70" s="221">
        <f t="shared" si="20"/>
        <v>3976</v>
      </c>
      <c r="J70" s="221">
        <f t="shared" si="20"/>
        <v>5520</v>
      </c>
      <c r="K70" s="221">
        <f t="shared" si="20"/>
        <v>2707</v>
      </c>
      <c r="L70" s="221">
        <f t="shared" si="20"/>
        <v>4117</v>
      </c>
      <c r="M70" s="221">
        <f t="shared" si="20"/>
        <v>48115</v>
      </c>
    </row>
    <row r="71" spans="1:13" ht="12">
      <c r="A71" s="73" t="s">
        <v>147</v>
      </c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</row>
    <row r="72" spans="1:13" ht="12">
      <c r="A72" s="256" t="s">
        <v>133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4"/>
    </row>
    <row r="73" spans="1:13" ht="12">
      <c r="A73" s="257" t="s">
        <v>66</v>
      </c>
      <c r="B73" s="258"/>
      <c r="C73" s="223"/>
      <c r="D73" s="258"/>
      <c r="E73" s="223"/>
      <c r="F73" s="258"/>
      <c r="G73" s="258"/>
      <c r="H73" s="258"/>
      <c r="I73" s="258"/>
      <c r="J73" s="258"/>
      <c r="K73" s="223"/>
      <c r="L73" s="258"/>
      <c r="M73" s="224"/>
    </row>
    <row r="74" spans="1:13" ht="12">
      <c r="A74" s="259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</row>
    <row r="75" spans="1:13" ht="12">
      <c r="A75" s="260"/>
      <c r="B75" s="200"/>
      <c r="C75" s="225"/>
      <c r="D75" s="225"/>
      <c r="E75" s="225"/>
      <c r="F75" s="200"/>
      <c r="G75" s="200"/>
      <c r="H75" s="200"/>
      <c r="I75" s="200"/>
      <c r="J75" s="200"/>
      <c r="K75" s="225"/>
      <c r="L75" s="200"/>
      <c r="M75" s="224"/>
    </row>
    <row r="76" spans="1:13" ht="12">
      <c r="A76" s="260"/>
      <c r="B76" s="200"/>
      <c r="C76" s="225"/>
      <c r="D76" s="225"/>
      <c r="E76" s="225"/>
      <c r="F76" s="200"/>
      <c r="G76" s="200"/>
      <c r="H76" s="200"/>
      <c r="I76" s="200"/>
      <c r="J76" s="200"/>
      <c r="K76" s="225"/>
      <c r="L76" s="200"/>
      <c r="M76" s="224"/>
    </row>
    <row r="77" spans="1:13" ht="12">
      <c r="A77" s="260"/>
      <c r="B77" s="200"/>
      <c r="C77" s="225"/>
      <c r="D77" s="225"/>
      <c r="E77" s="225"/>
      <c r="F77" s="200"/>
      <c r="G77" s="200"/>
      <c r="H77" s="200"/>
      <c r="I77" s="200"/>
      <c r="J77" s="200"/>
      <c r="K77" s="225"/>
      <c r="L77" s="200"/>
      <c r="M77" s="224"/>
    </row>
    <row r="78" spans="1:13" ht="12">
      <c r="A78" s="260"/>
      <c r="B78" s="200"/>
      <c r="C78" s="225"/>
      <c r="D78" s="225"/>
      <c r="E78" s="225"/>
      <c r="F78" s="200"/>
      <c r="G78" s="200"/>
      <c r="H78" s="200"/>
      <c r="I78" s="200"/>
      <c r="J78" s="200"/>
      <c r="K78" s="225"/>
      <c r="L78" s="200"/>
      <c r="M78" s="224"/>
    </row>
    <row r="79" spans="1:13" ht="12">
      <c r="A79" s="260"/>
      <c r="B79" s="200"/>
      <c r="C79" s="225"/>
      <c r="D79" s="225"/>
      <c r="E79" s="225"/>
      <c r="F79" s="200"/>
      <c r="G79" s="200"/>
      <c r="H79" s="200"/>
      <c r="I79" s="200"/>
      <c r="J79" s="225"/>
      <c r="K79" s="225"/>
      <c r="L79" s="200"/>
      <c r="M79" s="224"/>
    </row>
    <row r="80" spans="1:13" ht="12">
      <c r="A80" s="260"/>
      <c r="B80" s="200"/>
      <c r="C80" s="225"/>
      <c r="D80" s="200"/>
      <c r="E80" s="225"/>
      <c r="F80" s="200"/>
      <c r="G80" s="200"/>
      <c r="H80" s="200"/>
      <c r="I80" s="200"/>
      <c r="J80" s="200"/>
      <c r="K80" s="225"/>
      <c r="L80" s="200"/>
      <c r="M80" s="224"/>
    </row>
    <row r="81" spans="1:13" ht="12">
      <c r="A81" s="264"/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24"/>
    </row>
    <row r="82" spans="1:13" ht="12">
      <c r="A82" s="264"/>
      <c r="B82" s="264"/>
      <c r="C82" s="264"/>
      <c r="D82" s="264"/>
      <c r="E82" s="264"/>
      <c r="F82" s="264"/>
      <c r="G82" s="264"/>
      <c r="H82" s="264"/>
      <c r="I82" s="264"/>
      <c r="J82" s="264"/>
      <c r="K82" s="264"/>
      <c r="L82" s="264"/>
      <c r="M82" s="224"/>
    </row>
    <row r="83" spans="1:13" ht="12">
      <c r="A83" s="164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</row>
    <row r="84" spans="1:13" ht="12">
      <c r="A84" s="262"/>
      <c r="B84" s="226"/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63"/>
    </row>
  </sheetData>
  <sheetProtection/>
  <mergeCells count="4">
    <mergeCell ref="B3:L3"/>
    <mergeCell ref="B8:M8"/>
    <mergeCell ref="B29:M29"/>
    <mergeCell ref="B50:M50"/>
  </mergeCells>
  <printOptions/>
  <pageMargins left="0.5511811023622047" right="0.2362204724409449" top="0.5511811023622047" bottom="0.1968503937007874" header="0.5118110236220472" footer="0.2362204724409449"/>
  <pageSetup fitToHeight="1" fitToWidth="1" orientation="portrait" paperSize="9" scale="68" r:id="rId1"/>
  <headerFooter alignWithMargins="0">
    <oddHeader>&amp;R&amp;F</oddHeader>
    <oddFooter>&amp;LComune di Bologna - Dipartimento Programmazione - Settore Statistica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8"/>
  <sheetViews>
    <sheetView showZeros="0" zoomScalePageLayoutView="0" workbookViewId="0" topLeftCell="A1">
      <selection activeCell="T1" sqref="T1:T16384"/>
    </sheetView>
  </sheetViews>
  <sheetFormatPr defaultColWidth="10.875" defaultRowHeight="12"/>
  <cols>
    <col min="1" max="1" width="30.875" style="27" customWidth="1"/>
    <col min="2" max="2" width="6.625" style="27" customWidth="1"/>
    <col min="3" max="3" width="7.00390625" style="27" customWidth="1"/>
    <col min="4" max="4" width="6.375" style="27" customWidth="1"/>
    <col min="5" max="5" width="7.00390625" style="27" customWidth="1"/>
    <col min="6" max="10" width="7.625" style="27" customWidth="1"/>
    <col min="11" max="11" width="9.75390625" style="27" customWidth="1"/>
    <col min="12" max="15" width="7.625" style="27" customWidth="1"/>
    <col min="16" max="16" width="9.875" style="27" customWidth="1"/>
    <col min="17" max="19" width="7.625" style="27" customWidth="1"/>
    <col min="20" max="20" width="9.00390625" style="27" customWidth="1"/>
    <col min="21" max="21" width="6.125" style="27" customWidth="1"/>
    <col min="22" max="22" width="7.125" style="27" customWidth="1"/>
    <col min="23" max="24" width="9.875" style="27" customWidth="1"/>
    <col min="25" max="16384" width="10.875" style="27" customWidth="1"/>
  </cols>
  <sheetData>
    <row r="1" spans="1:23" s="3" customFormat="1" ht="30" customHeight="1">
      <c r="A1" s="274" t="s">
        <v>118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1"/>
      <c r="Q1" s="1"/>
      <c r="R1" s="1"/>
      <c r="S1" s="1"/>
      <c r="T1" s="1"/>
      <c r="U1" s="1"/>
      <c r="V1" s="1"/>
      <c r="W1" s="2"/>
    </row>
    <row r="2" spans="1:23" s="14" customFormat="1" ht="15" customHeight="1">
      <c r="A2" s="4" t="s">
        <v>126</v>
      </c>
      <c r="B2" s="5"/>
      <c r="C2" s="6"/>
      <c r="D2" s="7"/>
      <c r="E2" s="8"/>
      <c r="F2" s="6"/>
      <c r="G2" s="9"/>
      <c r="H2" s="9"/>
      <c r="I2" s="9"/>
      <c r="J2" s="9"/>
      <c r="K2" s="10" t="s">
        <v>0</v>
      </c>
      <c r="L2" s="11"/>
      <c r="M2" s="9"/>
      <c r="N2" s="9"/>
      <c r="O2" s="9"/>
      <c r="P2" s="9"/>
      <c r="Q2" s="9"/>
      <c r="R2" s="9"/>
      <c r="S2" s="9"/>
      <c r="T2" s="9"/>
      <c r="U2" s="9"/>
      <c r="V2" s="12"/>
      <c r="W2" s="13"/>
    </row>
    <row r="3" spans="1:23" s="22" customFormat="1" ht="13.5" customHeight="1">
      <c r="A3" s="15" t="s">
        <v>1</v>
      </c>
      <c r="B3" s="16" t="s">
        <v>2</v>
      </c>
      <c r="C3" s="17"/>
      <c r="D3" s="16"/>
      <c r="E3" s="16"/>
      <c r="F3" s="16"/>
      <c r="G3" s="16"/>
      <c r="H3" s="16"/>
      <c r="I3" s="18"/>
      <c r="J3" s="19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20" t="s">
        <v>3</v>
      </c>
      <c r="W3" s="21"/>
    </row>
    <row r="4" spans="1:23" ht="13.5" customHeight="1">
      <c r="A4" s="15" t="s">
        <v>4</v>
      </c>
      <c r="B4" s="23" t="s">
        <v>5</v>
      </c>
      <c r="C4" s="24" t="s">
        <v>6</v>
      </c>
      <c r="D4" s="24" t="s">
        <v>7</v>
      </c>
      <c r="E4" s="24" t="s">
        <v>6</v>
      </c>
      <c r="F4" s="24" t="s">
        <v>8</v>
      </c>
      <c r="G4" s="25" t="s">
        <v>6</v>
      </c>
      <c r="H4" s="25" t="s">
        <v>9</v>
      </c>
      <c r="I4" s="24" t="s">
        <v>10</v>
      </c>
      <c r="J4" s="24" t="s">
        <v>6</v>
      </c>
      <c r="K4" s="24" t="s">
        <v>11</v>
      </c>
      <c r="L4" s="25" t="s">
        <v>12</v>
      </c>
      <c r="M4" s="25" t="s">
        <v>13</v>
      </c>
      <c r="N4" s="25" t="s">
        <v>14</v>
      </c>
      <c r="O4" s="24" t="s">
        <v>10</v>
      </c>
      <c r="P4" s="24" t="s">
        <v>15</v>
      </c>
      <c r="Q4" s="24" t="s">
        <v>16</v>
      </c>
      <c r="R4" s="24" t="s">
        <v>17</v>
      </c>
      <c r="S4" s="24" t="s">
        <v>80</v>
      </c>
      <c r="T4" s="24" t="s">
        <v>79</v>
      </c>
      <c r="U4" s="24" t="s">
        <v>77</v>
      </c>
      <c r="V4" s="25"/>
      <c r="W4" s="26"/>
    </row>
    <row r="5" spans="1:23" ht="13.5" customHeight="1">
      <c r="A5" s="15" t="s">
        <v>18</v>
      </c>
      <c r="B5" s="23" t="s">
        <v>19</v>
      </c>
      <c r="C5" s="24" t="s">
        <v>20</v>
      </c>
      <c r="D5" s="24" t="s">
        <v>21</v>
      </c>
      <c r="E5" s="25" t="s">
        <v>22</v>
      </c>
      <c r="F5" s="24" t="s">
        <v>23</v>
      </c>
      <c r="G5" s="25" t="s">
        <v>24</v>
      </c>
      <c r="H5" s="25" t="s">
        <v>25</v>
      </c>
      <c r="I5" s="24" t="s">
        <v>26</v>
      </c>
      <c r="J5" s="24" t="s">
        <v>27</v>
      </c>
      <c r="K5" s="24" t="s">
        <v>28</v>
      </c>
      <c r="L5" s="24" t="s">
        <v>29</v>
      </c>
      <c r="M5" s="25" t="s">
        <v>30</v>
      </c>
      <c r="N5" s="25" t="s">
        <v>31</v>
      </c>
      <c r="O5" s="24" t="s">
        <v>32</v>
      </c>
      <c r="P5" s="24" t="s">
        <v>33</v>
      </c>
      <c r="Q5" s="24" t="s">
        <v>34</v>
      </c>
      <c r="R5" s="24" t="s">
        <v>35</v>
      </c>
      <c r="S5" s="24" t="s">
        <v>81</v>
      </c>
      <c r="T5" s="24" t="s">
        <v>84</v>
      </c>
      <c r="U5" s="24" t="s">
        <v>78</v>
      </c>
      <c r="V5" s="25"/>
      <c r="W5" s="26"/>
    </row>
    <row r="6" spans="1:23" ht="13.5" customHeight="1">
      <c r="A6" s="28"/>
      <c r="B6" s="23" t="s">
        <v>36</v>
      </c>
      <c r="C6" s="24" t="s">
        <v>37</v>
      </c>
      <c r="D6" s="25"/>
      <c r="E6" s="25" t="s">
        <v>38</v>
      </c>
      <c r="F6" s="24" t="s">
        <v>39</v>
      </c>
      <c r="G6" s="29" t="s">
        <v>40</v>
      </c>
      <c r="H6" s="25" t="s">
        <v>41</v>
      </c>
      <c r="I6" s="24" t="s">
        <v>42</v>
      </c>
      <c r="J6" s="24" t="s">
        <v>43</v>
      </c>
      <c r="K6" s="24" t="s">
        <v>44</v>
      </c>
      <c r="L6" s="30"/>
      <c r="M6" s="30"/>
      <c r="N6" s="30"/>
      <c r="O6" s="24" t="s">
        <v>45</v>
      </c>
      <c r="P6" s="24" t="s">
        <v>8</v>
      </c>
      <c r="Q6" s="24"/>
      <c r="R6" s="24" t="s">
        <v>46</v>
      </c>
      <c r="S6" s="24"/>
      <c r="T6" s="24" t="s">
        <v>85</v>
      </c>
      <c r="U6" s="24"/>
      <c r="V6" s="25"/>
      <c r="W6" s="26"/>
    </row>
    <row r="7" spans="1:23" s="14" customFormat="1" ht="13.5" customHeight="1">
      <c r="A7" s="31"/>
      <c r="B7" s="31"/>
      <c r="C7" s="32"/>
      <c r="D7" s="32"/>
      <c r="E7" s="32"/>
      <c r="F7" s="33" t="s">
        <v>47</v>
      </c>
      <c r="G7" s="32" t="s">
        <v>48</v>
      </c>
      <c r="H7" s="32" t="s">
        <v>49</v>
      </c>
      <c r="I7" s="33" t="s">
        <v>50</v>
      </c>
      <c r="J7" s="33" t="s">
        <v>82</v>
      </c>
      <c r="K7" s="32"/>
      <c r="L7" s="32"/>
      <c r="M7" s="32"/>
      <c r="N7" s="32"/>
      <c r="O7" s="33" t="s">
        <v>51</v>
      </c>
      <c r="P7" s="33" t="s">
        <v>52</v>
      </c>
      <c r="Q7" s="33"/>
      <c r="R7" s="33" t="s">
        <v>53</v>
      </c>
      <c r="S7" s="33"/>
      <c r="T7" s="33"/>
      <c r="U7" s="33"/>
      <c r="V7" s="32"/>
      <c r="W7" s="13"/>
    </row>
    <row r="8" spans="1:23" s="22" customFormat="1" ht="13.5" customHeight="1">
      <c r="A8" s="273" t="s">
        <v>54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1"/>
    </row>
    <row r="9" spans="1:23" s="3" customFormat="1" ht="12" customHeight="1">
      <c r="A9" s="35" t="s">
        <v>55</v>
      </c>
      <c r="B9" s="36">
        <v>1504</v>
      </c>
      <c r="C9" s="36">
        <v>2184</v>
      </c>
      <c r="D9" s="36">
        <v>2579</v>
      </c>
      <c r="E9" s="36">
        <v>176</v>
      </c>
      <c r="F9" s="36">
        <v>2970</v>
      </c>
      <c r="G9" s="36">
        <v>895</v>
      </c>
      <c r="H9" s="37">
        <v>176</v>
      </c>
      <c r="I9" s="36">
        <v>931</v>
      </c>
      <c r="J9" s="36">
        <v>1351</v>
      </c>
      <c r="K9" s="36">
        <v>93</v>
      </c>
      <c r="L9" s="36">
        <v>409</v>
      </c>
      <c r="M9" s="36">
        <v>2097</v>
      </c>
      <c r="N9" s="36">
        <v>264</v>
      </c>
      <c r="O9" s="36">
        <v>166</v>
      </c>
      <c r="P9" s="37">
        <v>618</v>
      </c>
      <c r="Q9" s="36">
        <v>317</v>
      </c>
      <c r="R9" s="36">
        <v>399</v>
      </c>
      <c r="S9" s="36">
        <v>99</v>
      </c>
      <c r="T9" s="36">
        <v>394</v>
      </c>
      <c r="U9" s="36">
        <v>101</v>
      </c>
      <c r="V9" s="38">
        <f aca="true" t="shared" si="0" ref="V9:V14">SUM(B9:U9)</f>
        <v>17723</v>
      </c>
      <c r="W9" s="39"/>
    </row>
    <row r="10" spans="1:25" ht="12" customHeight="1">
      <c r="A10" s="40" t="s">
        <v>56</v>
      </c>
      <c r="B10" s="36">
        <v>1304</v>
      </c>
      <c r="C10" s="36">
        <v>1764</v>
      </c>
      <c r="D10" s="36">
        <v>2233</v>
      </c>
      <c r="E10" s="36">
        <v>212</v>
      </c>
      <c r="F10" s="36">
        <v>2425</v>
      </c>
      <c r="G10" s="36">
        <v>873</v>
      </c>
      <c r="H10" s="37">
        <v>170</v>
      </c>
      <c r="I10" s="36">
        <v>878</v>
      </c>
      <c r="J10" s="36">
        <v>847</v>
      </c>
      <c r="K10" s="36">
        <v>62</v>
      </c>
      <c r="L10" s="36">
        <v>352</v>
      </c>
      <c r="M10" s="36">
        <v>1595</v>
      </c>
      <c r="N10" s="36">
        <v>191</v>
      </c>
      <c r="O10" s="36">
        <v>168</v>
      </c>
      <c r="P10" s="37">
        <v>398</v>
      </c>
      <c r="Q10" s="36">
        <v>355</v>
      </c>
      <c r="R10" s="36">
        <v>354</v>
      </c>
      <c r="S10" s="36">
        <v>90</v>
      </c>
      <c r="T10" s="36">
        <v>159</v>
      </c>
      <c r="U10" s="36">
        <v>86</v>
      </c>
      <c r="V10" s="38">
        <f t="shared" si="0"/>
        <v>14516</v>
      </c>
      <c r="W10" s="39"/>
      <c r="X10" s="41"/>
      <c r="Y10" s="41"/>
    </row>
    <row r="11" spans="1:25" ht="12" customHeight="1">
      <c r="A11" s="40" t="s">
        <v>57</v>
      </c>
      <c r="B11" s="36">
        <v>1347</v>
      </c>
      <c r="C11" s="36">
        <v>1511</v>
      </c>
      <c r="D11" s="36">
        <v>3071</v>
      </c>
      <c r="E11" s="36">
        <v>240</v>
      </c>
      <c r="F11" s="36">
        <v>2201</v>
      </c>
      <c r="G11" s="36">
        <v>1236</v>
      </c>
      <c r="H11" s="37">
        <v>179</v>
      </c>
      <c r="I11" s="36">
        <v>641</v>
      </c>
      <c r="J11" s="36">
        <v>1060</v>
      </c>
      <c r="K11" s="36">
        <v>66</v>
      </c>
      <c r="L11" s="36">
        <v>406</v>
      </c>
      <c r="M11" s="36">
        <v>2534</v>
      </c>
      <c r="N11" s="36">
        <v>308</v>
      </c>
      <c r="O11" s="36">
        <v>216</v>
      </c>
      <c r="P11" s="37">
        <v>359</v>
      </c>
      <c r="Q11" s="36">
        <v>279</v>
      </c>
      <c r="R11" s="36">
        <v>378</v>
      </c>
      <c r="S11" s="36">
        <v>105</v>
      </c>
      <c r="T11" s="36">
        <v>576</v>
      </c>
      <c r="U11" s="36">
        <v>101</v>
      </c>
      <c r="V11" s="38">
        <f t="shared" si="0"/>
        <v>16814</v>
      </c>
      <c r="W11" s="39"/>
      <c r="X11" s="41"/>
      <c r="Y11" s="41"/>
    </row>
    <row r="12" spans="1:25" ht="12" customHeight="1">
      <c r="A12" s="40" t="s">
        <v>58</v>
      </c>
      <c r="B12" s="36">
        <v>1303</v>
      </c>
      <c r="C12" s="36">
        <v>789</v>
      </c>
      <c r="D12" s="36">
        <v>1325</v>
      </c>
      <c r="E12" s="36">
        <v>161</v>
      </c>
      <c r="F12" s="36">
        <v>2051</v>
      </c>
      <c r="G12" s="36">
        <v>442</v>
      </c>
      <c r="H12" s="37">
        <v>135</v>
      </c>
      <c r="I12" s="36">
        <v>705</v>
      </c>
      <c r="J12" s="36">
        <v>689</v>
      </c>
      <c r="K12" s="36">
        <v>43</v>
      </c>
      <c r="L12" s="36">
        <v>348</v>
      </c>
      <c r="M12" s="36">
        <v>1656</v>
      </c>
      <c r="N12" s="36">
        <v>188</v>
      </c>
      <c r="O12" s="36">
        <v>168</v>
      </c>
      <c r="P12" s="37">
        <v>348</v>
      </c>
      <c r="Q12" s="36">
        <v>295</v>
      </c>
      <c r="R12" s="36">
        <v>348</v>
      </c>
      <c r="S12" s="36">
        <v>85</v>
      </c>
      <c r="T12" s="36"/>
      <c r="U12" s="36"/>
      <c r="V12" s="38">
        <f t="shared" si="0"/>
        <v>11079</v>
      </c>
      <c r="W12" s="42"/>
      <c r="X12" s="41"/>
      <c r="Y12" s="41"/>
    </row>
    <row r="13" spans="1:25" ht="12" customHeight="1">
      <c r="A13" s="40" t="s">
        <v>59</v>
      </c>
      <c r="B13" s="36"/>
      <c r="C13" s="36"/>
      <c r="D13" s="36"/>
      <c r="E13" s="36"/>
      <c r="F13" s="36">
        <v>143</v>
      </c>
      <c r="G13" s="36"/>
      <c r="H13" s="37"/>
      <c r="I13" s="36">
        <v>316</v>
      </c>
      <c r="J13" s="36">
        <v>360</v>
      </c>
      <c r="K13" s="36">
        <v>57</v>
      </c>
      <c r="L13" s="36">
        <v>589</v>
      </c>
      <c r="M13" s="36">
        <v>1672</v>
      </c>
      <c r="N13" s="36">
        <v>232</v>
      </c>
      <c r="O13" s="36">
        <v>172</v>
      </c>
      <c r="P13" s="37"/>
      <c r="Q13" s="36">
        <v>325</v>
      </c>
      <c r="R13" s="36"/>
      <c r="S13" s="36">
        <v>98</v>
      </c>
      <c r="T13" s="36"/>
      <c r="U13" s="36"/>
      <c r="V13" s="38">
        <f t="shared" si="0"/>
        <v>3964</v>
      </c>
      <c r="W13" s="42"/>
      <c r="X13" s="41"/>
      <c r="Y13" s="41"/>
    </row>
    <row r="14" spans="1:25" ht="12" customHeight="1">
      <c r="A14" s="40" t="s">
        <v>60</v>
      </c>
      <c r="B14" s="36"/>
      <c r="C14" s="36"/>
      <c r="D14" s="36"/>
      <c r="E14" s="36"/>
      <c r="F14" s="36"/>
      <c r="G14" s="36"/>
      <c r="H14" s="37"/>
      <c r="I14" s="36">
        <v>327</v>
      </c>
      <c r="J14" s="36"/>
      <c r="K14" s="36"/>
      <c r="L14" s="36"/>
      <c r="M14" s="36"/>
      <c r="N14" s="36"/>
      <c r="O14" s="36"/>
      <c r="P14" s="37"/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8">
        <f t="shared" si="0"/>
        <v>327</v>
      </c>
      <c r="W14" s="43"/>
      <c r="X14" s="41"/>
      <c r="Y14" s="41"/>
    </row>
    <row r="15" spans="1:25" s="46" customFormat="1" ht="13.5" customHeight="1">
      <c r="A15" s="44" t="s">
        <v>61</v>
      </c>
      <c r="B15" s="45">
        <f aca="true" t="shared" si="1" ref="B15:V15">SUM(B9:B14)</f>
        <v>5458</v>
      </c>
      <c r="C15" s="45">
        <f t="shared" si="1"/>
        <v>6248</v>
      </c>
      <c r="D15" s="45">
        <f t="shared" si="1"/>
        <v>9208</v>
      </c>
      <c r="E15" s="45">
        <f t="shared" si="1"/>
        <v>789</v>
      </c>
      <c r="F15" s="45">
        <f t="shared" si="1"/>
        <v>9790</v>
      </c>
      <c r="G15" s="45">
        <f t="shared" si="1"/>
        <v>3446</v>
      </c>
      <c r="H15" s="45">
        <f t="shared" si="1"/>
        <v>660</v>
      </c>
      <c r="I15" s="45">
        <f t="shared" si="1"/>
        <v>3798</v>
      </c>
      <c r="J15" s="45">
        <f t="shared" si="1"/>
        <v>4307</v>
      </c>
      <c r="K15" s="45">
        <f t="shared" si="1"/>
        <v>321</v>
      </c>
      <c r="L15" s="45">
        <f t="shared" si="1"/>
        <v>2104</v>
      </c>
      <c r="M15" s="45">
        <f t="shared" si="1"/>
        <v>9554</v>
      </c>
      <c r="N15" s="45">
        <f t="shared" si="1"/>
        <v>1183</v>
      </c>
      <c r="O15" s="45">
        <f t="shared" si="1"/>
        <v>890</v>
      </c>
      <c r="P15" s="45">
        <f t="shared" si="1"/>
        <v>1723</v>
      </c>
      <c r="Q15" s="45">
        <f t="shared" si="1"/>
        <v>1571</v>
      </c>
      <c r="R15" s="45">
        <f t="shared" si="1"/>
        <v>1479</v>
      </c>
      <c r="S15" s="45">
        <f t="shared" si="1"/>
        <v>477</v>
      </c>
      <c r="T15" s="45">
        <f t="shared" si="1"/>
        <v>1129</v>
      </c>
      <c r="U15" s="45">
        <f t="shared" si="1"/>
        <v>288</v>
      </c>
      <c r="V15" s="45">
        <f t="shared" si="1"/>
        <v>64423</v>
      </c>
      <c r="W15" s="45">
        <f>SUM(B15:U15)-V15</f>
        <v>0</v>
      </c>
      <c r="X15" s="45"/>
      <c r="Y15" s="45"/>
    </row>
    <row r="16" spans="1:25" ht="11.25" customHeight="1">
      <c r="A16" s="28" t="s">
        <v>62</v>
      </c>
      <c r="B16" s="36">
        <v>6675</v>
      </c>
      <c r="C16" s="36">
        <v>3479</v>
      </c>
      <c r="D16" s="36">
        <v>4030</v>
      </c>
      <c r="E16" s="36">
        <v>406</v>
      </c>
      <c r="F16" s="36">
        <v>6367</v>
      </c>
      <c r="G16" s="36">
        <v>1974</v>
      </c>
      <c r="H16" s="36">
        <v>278</v>
      </c>
      <c r="I16" s="36">
        <v>790</v>
      </c>
      <c r="J16" s="36">
        <v>2097</v>
      </c>
      <c r="K16" s="36">
        <v>127</v>
      </c>
      <c r="L16" s="36">
        <v>731</v>
      </c>
      <c r="M16" s="36">
        <v>3380</v>
      </c>
      <c r="N16" s="36">
        <v>612</v>
      </c>
      <c r="O16" s="36">
        <v>642</v>
      </c>
      <c r="P16" s="36">
        <v>1213</v>
      </c>
      <c r="Q16" s="36">
        <v>619</v>
      </c>
      <c r="R16" s="36">
        <v>1131</v>
      </c>
      <c r="S16" s="36">
        <v>49</v>
      </c>
      <c r="T16" s="36">
        <v>36</v>
      </c>
      <c r="U16" s="36"/>
      <c r="V16" s="38">
        <f>SUM(B16:U16)</f>
        <v>34636</v>
      </c>
      <c r="W16" s="36">
        <f>+V17-V16-V15</f>
        <v>0</v>
      </c>
      <c r="X16" s="41"/>
      <c r="Y16" s="47"/>
    </row>
    <row r="17" spans="1:25" s="53" customFormat="1" ht="13.5" customHeight="1">
      <c r="A17" s="48" t="s">
        <v>63</v>
      </c>
      <c r="B17" s="49">
        <f aca="true" t="shared" si="2" ref="B17:U17">+B15+B16</f>
        <v>12133</v>
      </c>
      <c r="C17" s="49">
        <f t="shared" si="2"/>
        <v>9727</v>
      </c>
      <c r="D17" s="49">
        <f t="shared" si="2"/>
        <v>13238</v>
      </c>
      <c r="E17" s="49">
        <f t="shared" si="2"/>
        <v>1195</v>
      </c>
      <c r="F17" s="49">
        <f t="shared" si="2"/>
        <v>16157</v>
      </c>
      <c r="G17" s="49">
        <f t="shared" si="2"/>
        <v>5420</v>
      </c>
      <c r="H17" s="49">
        <f t="shared" si="2"/>
        <v>938</v>
      </c>
      <c r="I17" s="49">
        <f t="shared" si="2"/>
        <v>4588</v>
      </c>
      <c r="J17" s="49">
        <f t="shared" si="2"/>
        <v>6404</v>
      </c>
      <c r="K17" s="49">
        <f t="shared" si="2"/>
        <v>448</v>
      </c>
      <c r="L17" s="49">
        <f t="shared" si="2"/>
        <v>2835</v>
      </c>
      <c r="M17" s="49">
        <f t="shared" si="2"/>
        <v>12934</v>
      </c>
      <c r="N17" s="49">
        <f t="shared" si="2"/>
        <v>1795</v>
      </c>
      <c r="O17" s="49">
        <f t="shared" si="2"/>
        <v>1532</v>
      </c>
      <c r="P17" s="49">
        <f t="shared" si="2"/>
        <v>2936</v>
      </c>
      <c r="Q17" s="49">
        <f t="shared" si="2"/>
        <v>2190</v>
      </c>
      <c r="R17" s="49">
        <f t="shared" si="2"/>
        <v>2610</v>
      </c>
      <c r="S17" s="49">
        <f t="shared" si="2"/>
        <v>526</v>
      </c>
      <c r="T17" s="49">
        <f t="shared" si="2"/>
        <v>1165</v>
      </c>
      <c r="U17" s="49">
        <f t="shared" si="2"/>
        <v>288</v>
      </c>
      <c r="V17" s="50">
        <f>SUM(B17:U17)</f>
        <v>99059</v>
      </c>
      <c r="W17" s="51">
        <f>+V17-V16-SUM(V9:V14)</f>
        <v>0</v>
      </c>
      <c r="X17" s="52"/>
      <c r="Y17" s="52"/>
    </row>
    <row r="18" spans="1:25" s="22" customFormat="1" ht="13.5" customHeight="1">
      <c r="A18" s="54" t="s">
        <v>86</v>
      </c>
      <c r="B18" s="55"/>
      <c r="C18" s="55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5"/>
      <c r="Q18" s="55"/>
      <c r="R18" s="55"/>
      <c r="S18" s="55"/>
      <c r="T18" s="55"/>
      <c r="U18" s="55"/>
      <c r="V18" s="54">
        <v>0</v>
      </c>
      <c r="W18" s="56"/>
      <c r="X18" s="57"/>
      <c r="Y18" s="57"/>
    </row>
    <row r="19" spans="1:25" ht="12" customHeight="1">
      <c r="A19" s="35" t="s">
        <v>55</v>
      </c>
      <c r="B19" s="58">
        <v>658</v>
      </c>
      <c r="C19" s="58">
        <v>989</v>
      </c>
      <c r="D19" s="58">
        <v>1392</v>
      </c>
      <c r="E19" s="58">
        <v>107</v>
      </c>
      <c r="F19" s="58">
        <v>1155</v>
      </c>
      <c r="G19" s="58">
        <v>125</v>
      </c>
      <c r="H19" s="58">
        <v>23</v>
      </c>
      <c r="I19" s="58">
        <v>338</v>
      </c>
      <c r="J19" s="58">
        <v>881</v>
      </c>
      <c r="K19" s="58">
        <v>52</v>
      </c>
      <c r="L19" s="58">
        <v>134</v>
      </c>
      <c r="M19" s="58">
        <v>1701</v>
      </c>
      <c r="N19" s="58">
        <v>176</v>
      </c>
      <c r="O19" s="58">
        <v>66</v>
      </c>
      <c r="P19" s="58">
        <v>108</v>
      </c>
      <c r="Q19" s="58">
        <v>61</v>
      </c>
      <c r="R19" s="58">
        <v>131</v>
      </c>
      <c r="S19" s="58">
        <v>25</v>
      </c>
      <c r="T19" s="58">
        <v>217</v>
      </c>
      <c r="U19" s="58">
        <v>37</v>
      </c>
      <c r="V19" s="38">
        <f aca="true" t="shared" si="3" ref="V19:V24">SUM(B19:U19)</f>
        <v>8376</v>
      </c>
      <c r="W19" s="39"/>
      <c r="X19" s="41"/>
      <c r="Y19" s="41"/>
    </row>
    <row r="20" spans="1:25" ht="12" customHeight="1">
      <c r="A20" s="40" t="s">
        <v>56</v>
      </c>
      <c r="B20" s="58">
        <v>555</v>
      </c>
      <c r="C20" s="58">
        <v>842</v>
      </c>
      <c r="D20" s="58">
        <v>1233</v>
      </c>
      <c r="E20" s="58">
        <v>111</v>
      </c>
      <c r="F20" s="58">
        <v>948</v>
      </c>
      <c r="G20" s="58">
        <v>101</v>
      </c>
      <c r="H20" s="58">
        <v>19</v>
      </c>
      <c r="I20" s="58">
        <v>295</v>
      </c>
      <c r="J20" s="58">
        <v>503</v>
      </c>
      <c r="K20" s="58">
        <v>46</v>
      </c>
      <c r="L20" s="58">
        <v>110</v>
      </c>
      <c r="M20" s="58">
        <v>1305</v>
      </c>
      <c r="N20" s="58">
        <v>115</v>
      </c>
      <c r="O20" s="58">
        <v>54</v>
      </c>
      <c r="P20" s="58">
        <v>71</v>
      </c>
      <c r="Q20" s="58">
        <v>65</v>
      </c>
      <c r="R20" s="58">
        <v>99</v>
      </c>
      <c r="S20" s="58">
        <v>36</v>
      </c>
      <c r="T20" s="58">
        <v>93</v>
      </c>
      <c r="U20" s="58">
        <v>39</v>
      </c>
      <c r="V20" s="38">
        <f t="shared" si="3"/>
        <v>6640</v>
      </c>
      <c r="W20" s="39"/>
      <c r="X20" s="41"/>
      <c r="Y20" s="41"/>
    </row>
    <row r="21" spans="1:25" ht="12" customHeight="1">
      <c r="A21" s="40" t="s">
        <v>57</v>
      </c>
      <c r="B21" s="58">
        <v>593</v>
      </c>
      <c r="C21" s="58">
        <v>644</v>
      </c>
      <c r="D21" s="58">
        <v>1744</v>
      </c>
      <c r="E21" s="58">
        <v>136</v>
      </c>
      <c r="F21" s="58">
        <v>871</v>
      </c>
      <c r="G21" s="58">
        <v>136</v>
      </c>
      <c r="H21" s="58">
        <v>27</v>
      </c>
      <c r="I21" s="58">
        <v>220</v>
      </c>
      <c r="J21" s="58">
        <v>662</v>
      </c>
      <c r="K21" s="58">
        <v>40</v>
      </c>
      <c r="L21" s="58">
        <v>110</v>
      </c>
      <c r="M21" s="58">
        <v>2097</v>
      </c>
      <c r="N21" s="58">
        <v>200</v>
      </c>
      <c r="O21" s="58">
        <v>83</v>
      </c>
      <c r="P21" s="58">
        <v>56</v>
      </c>
      <c r="Q21" s="58">
        <v>46</v>
      </c>
      <c r="R21" s="58">
        <v>100</v>
      </c>
      <c r="S21" s="58">
        <v>39</v>
      </c>
      <c r="T21" s="58">
        <v>299</v>
      </c>
      <c r="U21" s="58">
        <v>44</v>
      </c>
      <c r="V21" s="38">
        <f t="shared" si="3"/>
        <v>8147</v>
      </c>
      <c r="W21" s="39"/>
      <c r="X21" s="41"/>
      <c r="Y21" s="41"/>
    </row>
    <row r="22" spans="1:25" s="60" customFormat="1" ht="12" customHeight="1">
      <c r="A22" s="40" t="s">
        <v>58</v>
      </c>
      <c r="B22" s="58">
        <v>544</v>
      </c>
      <c r="C22" s="58">
        <v>322</v>
      </c>
      <c r="D22" s="58">
        <v>703</v>
      </c>
      <c r="E22" s="58">
        <v>80</v>
      </c>
      <c r="F22" s="58">
        <v>829</v>
      </c>
      <c r="G22" s="58">
        <v>33</v>
      </c>
      <c r="H22" s="58">
        <v>21</v>
      </c>
      <c r="I22" s="58">
        <v>328</v>
      </c>
      <c r="J22" s="58">
        <v>382</v>
      </c>
      <c r="K22" s="58">
        <v>26</v>
      </c>
      <c r="L22" s="58">
        <v>94</v>
      </c>
      <c r="M22" s="58">
        <v>1322</v>
      </c>
      <c r="N22" s="58">
        <v>103</v>
      </c>
      <c r="O22" s="58">
        <v>65</v>
      </c>
      <c r="P22" s="58">
        <v>39</v>
      </c>
      <c r="Q22" s="58">
        <v>55</v>
      </c>
      <c r="R22" s="58">
        <v>92</v>
      </c>
      <c r="S22" s="58">
        <v>27</v>
      </c>
      <c r="T22" s="58"/>
      <c r="U22" s="58"/>
      <c r="V22" s="38">
        <f t="shared" si="3"/>
        <v>5065</v>
      </c>
      <c r="W22" s="42"/>
      <c r="X22" s="59"/>
      <c r="Y22" s="59"/>
    </row>
    <row r="23" spans="1:25" s="60" customFormat="1" ht="12" customHeight="1">
      <c r="A23" s="40" t="s">
        <v>59</v>
      </c>
      <c r="B23" s="58"/>
      <c r="C23" s="58"/>
      <c r="D23" s="58"/>
      <c r="E23" s="58"/>
      <c r="F23" s="58">
        <v>68</v>
      </c>
      <c r="G23" s="58"/>
      <c r="H23" s="58"/>
      <c r="I23" s="58">
        <v>139</v>
      </c>
      <c r="J23" s="58">
        <v>177</v>
      </c>
      <c r="K23" s="58">
        <v>30</v>
      </c>
      <c r="L23" s="58">
        <v>160</v>
      </c>
      <c r="M23" s="58">
        <v>1354</v>
      </c>
      <c r="N23" s="58">
        <v>131</v>
      </c>
      <c r="O23" s="58">
        <v>65</v>
      </c>
      <c r="P23" s="58"/>
      <c r="Q23" s="58">
        <v>54</v>
      </c>
      <c r="R23" s="58"/>
      <c r="S23" s="58">
        <v>32</v>
      </c>
      <c r="T23" s="58"/>
      <c r="U23" s="58"/>
      <c r="V23" s="38">
        <f t="shared" si="3"/>
        <v>2210</v>
      </c>
      <c r="W23" s="42"/>
      <c r="X23" s="59"/>
      <c r="Y23" s="59"/>
    </row>
    <row r="24" spans="1:25" s="62" customFormat="1" ht="12" customHeight="1">
      <c r="A24" s="40" t="s">
        <v>60</v>
      </c>
      <c r="B24" s="58"/>
      <c r="C24" s="58"/>
      <c r="D24" s="58"/>
      <c r="E24" s="58"/>
      <c r="F24" s="58"/>
      <c r="G24" s="58"/>
      <c r="H24" s="58"/>
      <c r="I24" s="58">
        <v>137</v>
      </c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38">
        <f t="shared" si="3"/>
        <v>137</v>
      </c>
      <c r="W24" s="43"/>
      <c r="X24" s="61"/>
      <c r="Y24" s="61"/>
    </row>
    <row r="25" spans="1:24" s="63" customFormat="1" ht="13.5" customHeight="1">
      <c r="A25" s="44" t="s">
        <v>61</v>
      </c>
      <c r="B25" s="45">
        <f aca="true" t="shared" si="4" ref="B25:V25">SUM(B19:B24)</f>
        <v>2350</v>
      </c>
      <c r="C25" s="45">
        <f t="shared" si="4"/>
        <v>2797</v>
      </c>
      <c r="D25" s="45">
        <f t="shared" si="4"/>
        <v>5072</v>
      </c>
      <c r="E25" s="45">
        <f t="shared" si="4"/>
        <v>434</v>
      </c>
      <c r="F25" s="45">
        <f t="shared" si="4"/>
        <v>3871</v>
      </c>
      <c r="G25" s="45">
        <f t="shared" si="4"/>
        <v>395</v>
      </c>
      <c r="H25" s="45">
        <f t="shared" si="4"/>
        <v>90</v>
      </c>
      <c r="I25" s="45">
        <f t="shared" si="4"/>
        <v>1457</v>
      </c>
      <c r="J25" s="45">
        <f t="shared" si="4"/>
        <v>2605</v>
      </c>
      <c r="K25" s="45">
        <f t="shared" si="4"/>
        <v>194</v>
      </c>
      <c r="L25" s="45">
        <f t="shared" si="4"/>
        <v>608</v>
      </c>
      <c r="M25" s="45">
        <f t="shared" si="4"/>
        <v>7779</v>
      </c>
      <c r="N25" s="45">
        <f t="shared" si="4"/>
        <v>725</v>
      </c>
      <c r="O25" s="45">
        <f t="shared" si="4"/>
        <v>333</v>
      </c>
      <c r="P25" s="45">
        <f t="shared" si="4"/>
        <v>274</v>
      </c>
      <c r="Q25" s="45">
        <f t="shared" si="4"/>
        <v>281</v>
      </c>
      <c r="R25" s="45">
        <f t="shared" si="4"/>
        <v>422</v>
      </c>
      <c r="S25" s="45">
        <f t="shared" si="4"/>
        <v>159</v>
      </c>
      <c r="T25" s="45">
        <f t="shared" si="4"/>
        <v>609</v>
      </c>
      <c r="U25" s="45">
        <f t="shared" si="4"/>
        <v>120</v>
      </c>
      <c r="V25" s="45">
        <f t="shared" si="4"/>
        <v>30575</v>
      </c>
      <c r="W25" s="45">
        <f>SUM(B25:U25)-V25</f>
        <v>0</v>
      </c>
      <c r="X25" s="36"/>
    </row>
    <row r="26" spans="1:23" s="64" customFormat="1" ht="12" customHeight="1">
      <c r="A26" s="28" t="s">
        <v>62</v>
      </c>
      <c r="B26" s="58">
        <v>2888</v>
      </c>
      <c r="C26" s="58">
        <v>1574</v>
      </c>
      <c r="D26" s="58">
        <v>2222</v>
      </c>
      <c r="E26" s="58">
        <v>218</v>
      </c>
      <c r="F26" s="58">
        <v>2529</v>
      </c>
      <c r="G26" s="58">
        <v>204</v>
      </c>
      <c r="H26" s="58">
        <v>38</v>
      </c>
      <c r="I26" s="58">
        <v>383</v>
      </c>
      <c r="J26" s="58">
        <v>1223</v>
      </c>
      <c r="K26" s="58">
        <v>100</v>
      </c>
      <c r="L26" s="58">
        <v>247</v>
      </c>
      <c r="M26" s="58">
        <v>2879</v>
      </c>
      <c r="N26" s="58">
        <v>408</v>
      </c>
      <c r="O26" s="58">
        <v>237</v>
      </c>
      <c r="P26" s="58">
        <v>144</v>
      </c>
      <c r="Q26" s="58">
        <v>135</v>
      </c>
      <c r="R26" s="58">
        <v>252</v>
      </c>
      <c r="S26" s="58">
        <v>21</v>
      </c>
      <c r="T26" s="58">
        <v>16</v>
      </c>
      <c r="U26" s="58"/>
      <c r="V26" s="38">
        <f>SUM(B26:U26)</f>
        <v>15718</v>
      </c>
      <c r="W26" s="36">
        <f>+V27-V26-V25</f>
        <v>0</v>
      </c>
    </row>
    <row r="27" spans="1:25" s="53" customFormat="1" ht="13.5" customHeight="1">
      <c r="A27" s="48" t="s">
        <v>63</v>
      </c>
      <c r="B27" s="49">
        <f aca="true" t="shared" si="5" ref="B27:U27">+B25+B26</f>
        <v>5238</v>
      </c>
      <c r="C27" s="49">
        <f t="shared" si="5"/>
        <v>4371</v>
      </c>
      <c r="D27" s="49">
        <f t="shared" si="5"/>
        <v>7294</v>
      </c>
      <c r="E27" s="49">
        <f t="shared" si="5"/>
        <v>652</v>
      </c>
      <c r="F27" s="49">
        <f t="shared" si="5"/>
        <v>6400</v>
      </c>
      <c r="G27" s="49">
        <f t="shared" si="5"/>
        <v>599</v>
      </c>
      <c r="H27" s="49">
        <f t="shared" si="5"/>
        <v>128</v>
      </c>
      <c r="I27" s="49">
        <f t="shared" si="5"/>
        <v>1840</v>
      </c>
      <c r="J27" s="49">
        <f t="shared" si="5"/>
        <v>3828</v>
      </c>
      <c r="K27" s="49">
        <f t="shared" si="5"/>
        <v>294</v>
      </c>
      <c r="L27" s="49">
        <f t="shared" si="5"/>
        <v>855</v>
      </c>
      <c r="M27" s="49">
        <f t="shared" si="5"/>
        <v>10658</v>
      </c>
      <c r="N27" s="49">
        <f t="shared" si="5"/>
        <v>1133</v>
      </c>
      <c r="O27" s="49">
        <f t="shared" si="5"/>
        <v>570</v>
      </c>
      <c r="P27" s="49">
        <f t="shared" si="5"/>
        <v>418</v>
      </c>
      <c r="Q27" s="49">
        <f t="shared" si="5"/>
        <v>416</v>
      </c>
      <c r="R27" s="49">
        <f t="shared" si="5"/>
        <v>674</v>
      </c>
      <c r="S27" s="49">
        <f t="shared" si="5"/>
        <v>180</v>
      </c>
      <c r="T27" s="49">
        <f t="shared" si="5"/>
        <v>625</v>
      </c>
      <c r="U27" s="49">
        <f t="shared" si="5"/>
        <v>120</v>
      </c>
      <c r="V27" s="50">
        <f>SUM(B27:U27)</f>
        <v>46293</v>
      </c>
      <c r="W27" s="51">
        <f>+V27-V26-SUM(V19:V24)</f>
        <v>0</v>
      </c>
      <c r="X27" s="65"/>
      <c r="Y27" s="65"/>
    </row>
    <row r="28" spans="1:25" s="22" customFormat="1" ht="13.5" customHeight="1">
      <c r="A28" s="66" t="s">
        <v>87</v>
      </c>
      <c r="B28" s="55"/>
      <c r="C28" s="5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55"/>
      <c r="Q28" s="55"/>
      <c r="R28" s="55"/>
      <c r="S28" s="55"/>
      <c r="T28" s="55"/>
      <c r="U28" s="55"/>
      <c r="V28" s="67">
        <v>0</v>
      </c>
      <c r="W28" s="56"/>
      <c r="X28" s="57"/>
      <c r="Y28" s="57"/>
    </row>
    <row r="29" spans="1:25" ht="12" customHeight="1">
      <c r="A29" s="35" t="s">
        <v>55</v>
      </c>
      <c r="B29" s="58">
        <v>846</v>
      </c>
      <c r="C29" s="58">
        <v>1195</v>
      </c>
      <c r="D29" s="58">
        <v>1187</v>
      </c>
      <c r="E29" s="58">
        <v>69</v>
      </c>
      <c r="F29" s="58">
        <v>1815</v>
      </c>
      <c r="G29" s="58">
        <v>770</v>
      </c>
      <c r="H29" s="58">
        <v>153</v>
      </c>
      <c r="I29" s="58">
        <v>593</v>
      </c>
      <c r="J29" s="58">
        <v>470</v>
      </c>
      <c r="K29" s="58">
        <v>41</v>
      </c>
      <c r="L29" s="58">
        <v>275</v>
      </c>
      <c r="M29" s="58">
        <v>396</v>
      </c>
      <c r="N29" s="58">
        <v>88</v>
      </c>
      <c r="O29" s="58">
        <v>100</v>
      </c>
      <c r="P29" s="58">
        <v>510</v>
      </c>
      <c r="Q29" s="58">
        <v>256</v>
      </c>
      <c r="R29" s="58">
        <v>268</v>
      </c>
      <c r="S29" s="58">
        <v>74</v>
      </c>
      <c r="T29" s="58">
        <v>177</v>
      </c>
      <c r="U29" s="58">
        <v>64</v>
      </c>
      <c r="V29" s="38">
        <f aca="true" t="shared" si="6" ref="V29:V34">SUM(B29:U29)</f>
        <v>9347</v>
      </c>
      <c r="W29" s="39"/>
      <c r="X29" s="41"/>
      <c r="Y29" s="41"/>
    </row>
    <row r="30" spans="1:25" ht="12" customHeight="1">
      <c r="A30" s="40" t="s">
        <v>56</v>
      </c>
      <c r="B30" s="58">
        <v>749</v>
      </c>
      <c r="C30" s="58">
        <v>922</v>
      </c>
      <c r="D30" s="58">
        <v>1000</v>
      </c>
      <c r="E30" s="58">
        <v>101</v>
      </c>
      <c r="F30" s="58">
        <v>1477</v>
      </c>
      <c r="G30" s="58">
        <v>772</v>
      </c>
      <c r="H30" s="58">
        <v>151</v>
      </c>
      <c r="I30" s="58">
        <v>583</v>
      </c>
      <c r="J30" s="58">
        <v>344</v>
      </c>
      <c r="K30" s="58">
        <v>16</v>
      </c>
      <c r="L30" s="58">
        <v>242</v>
      </c>
      <c r="M30" s="58">
        <v>290</v>
      </c>
      <c r="N30" s="58">
        <v>76</v>
      </c>
      <c r="O30" s="58">
        <v>114</v>
      </c>
      <c r="P30" s="58">
        <v>327</v>
      </c>
      <c r="Q30" s="58">
        <v>290</v>
      </c>
      <c r="R30" s="58">
        <v>255</v>
      </c>
      <c r="S30" s="58">
        <v>54</v>
      </c>
      <c r="T30" s="58">
        <v>66</v>
      </c>
      <c r="U30" s="58">
        <v>47</v>
      </c>
      <c r="V30" s="38">
        <f t="shared" si="6"/>
        <v>7876</v>
      </c>
      <c r="W30" s="39"/>
      <c r="X30" s="41"/>
      <c r="Y30" s="41"/>
    </row>
    <row r="31" spans="1:25" ht="12" customHeight="1">
      <c r="A31" s="40" t="s">
        <v>57</v>
      </c>
      <c r="B31" s="58">
        <v>754</v>
      </c>
      <c r="C31" s="58">
        <v>867</v>
      </c>
      <c r="D31" s="58">
        <v>1327</v>
      </c>
      <c r="E31" s="58">
        <v>104</v>
      </c>
      <c r="F31" s="58">
        <v>1330</v>
      </c>
      <c r="G31" s="58">
        <v>1100</v>
      </c>
      <c r="H31" s="58">
        <v>152</v>
      </c>
      <c r="I31" s="58">
        <v>421</v>
      </c>
      <c r="J31" s="58">
        <v>398</v>
      </c>
      <c r="K31" s="58">
        <v>26</v>
      </c>
      <c r="L31" s="58">
        <v>296</v>
      </c>
      <c r="M31" s="58">
        <v>437</v>
      </c>
      <c r="N31" s="58">
        <v>108</v>
      </c>
      <c r="O31" s="58">
        <v>133</v>
      </c>
      <c r="P31" s="58">
        <v>303</v>
      </c>
      <c r="Q31" s="58">
        <v>233</v>
      </c>
      <c r="R31" s="58">
        <v>278</v>
      </c>
      <c r="S31" s="58">
        <v>66</v>
      </c>
      <c r="T31" s="58">
        <v>277</v>
      </c>
      <c r="U31" s="58">
        <v>57</v>
      </c>
      <c r="V31" s="38">
        <f t="shared" si="6"/>
        <v>8667</v>
      </c>
      <c r="W31" s="39"/>
      <c r="X31" s="41"/>
      <c r="Y31" s="41"/>
    </row>
    <row r="32" spans="1:25" ht="12" customHeight="1">
      <c r="A32" s="40" t="s">
        <v>58</v>
      </c>
      <c r="B32" s="58">
        <v>759</v>
      </c>
      <c r="C32" s="58">
        <v>467</v>
      </c>
      <c r="D32" s="58">
        <v>622</v>
      </c>
      <c r="E32" s="58">
        <v>81</v>
      </c>
      <c r="F32" s="58">
        <v>1222</v>
      </c>
      <c r="G32" s="58">
        <v>409</v>
      </c>
      <c r="H32" s="58">
        <v>114</v>
      </c>
      <c r="I32" s="58">
        <v>377</v>
      </c>
      <c r="J32" s="58">
        <v>307</v>
      </c>
      <c r="K32" s="58">
        <v>17</v>
      </c>
      <c r="L32" s="58">
        <v>254</v>
      </c>
      <c r="M32" s="58">
        <v>334</v>
      </c>
      <c r="N32" s="58">
        <v>85</v>
      </c>
      <c r="O32" s="58">
        <v>103</v>
      </c>
      <c r="P32" s="58">
        <v>309</v>
      </c>
      <c r="Q32" s="58">
        <v>240</v>
      </c>
      <c r="R32" s="58">
        <v>256</v>
      </c>
      <c r="S32" s="58">
        <v>58</v>
      </c>
      <c r="T32" s="58"/>
      <c r="U32" s="58"/>
      <c r="V32" s="38">
        <f t="shared" si="6"/>
        <v>6014</v>
      </c>
      <c r="W32" s="42"/>
      <c r="X32" s="59"/>
      <c r="Y32" s="41"/>
    </row>
    <row r="33" spans="1:25" ht="12" customHeight="1">
      <c r="A33" s="40" t="s">
        <v>59</v>
      </c>
      <c r="B33" s="58"/>
      <c r="C33" s="58"/>
      <c r="D33" s="58"/>
      <c r="E33" s="58"/>
      <c r="F33" s="58">
        <v>75</v>
      </c>
      <c r="G33" s="58"/>
      <c r="H33" s="58"/>
      <c r="I33" s="58">
        <v>177</v>
      </c>
      <c r="J33" s="58">
        <v>183</v>
      </c>
      <c r="K33" s="58">
        <v>27</v>
      </c>
      <c r="L33" s="58">
        <v>429</v>
      </c>
      <c r="M33" s="58">
        <v>318</v>
      </c>
      <c r="N33" s="58">
        <v>101</v>
      </c>
      <c r="O33" s="58">
        <v>107</v>
      </c>
      <c r="P33" s="58"/>
      <c r="Q33" s="58">
        <v>271</v>
      </c>
      <c r="R33" s="58"/>
      <c r="S33" s="58">
        <v>66</v>
      </c>
      <c r="T33" s="58"/>
      <c r="U33" s="58"/>
      <c r="V33" s="38">
        <f t="shared" si="6"/>
        <v>1754</v>
      </c>
      <c r="W33" s="42"/>
      <c r="X33" s="59"/>
      <c r="Y33" s="41"/>
    </row>
    <row r="34" spans="1:25" ht="12" customHeight="1">
      <c r="A34" s="40" t="s">
        <v>60</v>
      </c>
      <c r="B34" s="58"/>
      <c r="C34" s="58"/>
      <c r="D34" s="58"/>
      <c r="E34" s="58"/>
      <c r="F34" s="58"/>
      <c r="G34" s="58"/>
      <c r="H34" s="58"/>
      <c r="I34" s="58">
        <v>190</v>
      </c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38">
        <f t="shared" si="6"/>
        <v>190</v>
      </c>
      <c r="W34" s="43"/>
      <c r="X34" s="61"/>
      <c r="Y34" s="41"/>
    </row>
    <row r="35" spans="1:25" s="46" customFormat="1" ht="13.5" customHeight="1">
      <c r="A35" s="44" t="s">
        <v>61</v>
      </c>
      <c r="B35" s="45">
        <f aca="true" t="shared" si="7" ref="B35:V35">SUM(B29:B34)</f>
        <v>3108</v>
      </c>
      <c r="C35" s="45">
        <f t="shared" si="7"/>
        <v>3451</v>
      </c>
      <c r="D35" s="45">
        <f t="shared" si="7"/>
        <v>4136</v>
      </c>
      <c r="E35" s="45">
        <f t="shared" si="7"/>
        <v>355</v>
      </c>
      <c r="F35" s="45">
        <f t="shared" si="7"/>
        <v>5919</v>
      </c>
      <c r="G35" s="45">
        <f t="shared" si="7"/>
        <v>3051</v>
      </c>
      <c r="H35" s="45">
        <f t="shared" si="7"/>
        <v>570</v>
      </c>
      <c r="I35" s="45">
        <f t="shared" si="7"/>
        <v>2341</v>
      </c>
      <c r="J35" s="45">
        <f t="shared" si="7"/>
        <v>1702</v>
      </c>
      <c r="K35" s="45">
        <f t="shared" si="7"/>
        <v>127</v>
      </c>
      <c r="L35" s="45">
        <f t="shared" si="7"/>
        <v>1496</v>
      </c>
      <c r="M35" s="45">
        <f t="shared" si="7"/>
        <v>1775</v>
      </c>
      <c r="N35" s="45">
        <f t="shared" si="7"/>
        <v>458</v>
      </c>
      <c r="O35" s="45">
        <f t="shared" si="7"/>
        <v>557</v>
      </c>
      <c r="P35" s="45">
        <f t="shared" si="7"/>
        <v>1449</v>
      </c>
      <c r="Q35" s="45">
        <f t="shared" si="7"/>
        <v>1290</v>
      </c>
      <c r="R35" s="45">
        <f t="shared" si="7"/>
        <v>1057</v>
      </c>
      <c r="S35" s="45">
        <f t="shared" si="7"/>
        <v>318</v>
      </c>
      <c r="T35" s="45">
        <f t="shared" si="7"/>
        <v>520</v>
      </c>
      <c r="U35" s="45">
        <f t="shared" si="7"/>
        <v>168</v>
      </c>
      <c r="V35" s="45">
        <f t="shared" si="7"/>
        <v>33848</v>
      </c>
      <c r="W35" s="45">
        <f>SUM(B35:U35)-V35</f>
        <v>0</v>
      </c>
      <c r="X35" s="36"/>
      <c r="Y35" s="45"/>
    </row>
    <row r="36" spans="1:25" ht="12" customHeight="1">
      <c r="A36" s="28" t="s">
        <v>62</v>
      </c>
      <c r="B36" s="58">
        <v>3787</v>
      </c>
      <c r="C36" s="58">
        <v>1905</v>
      </c>
      <c r="D36" s="58">
        <v>1808</v>
      </c>
      <c r="E36" s="58">
        <v>188</v>
      </c>
      <c r="F36" s="58">
        <v>3838</v>
      </c>
      <c r="G36" s="58">
        <v>1770</v>
      </c>
      <c r="H36" s="58">
        <v>240</v>
      </c>
      <c r="I36" s="58">
        <v>407</v>
      </c>
      <c r="J36" s="58">
        <v>874</v>
      </c>
      <c r="K36" s="58">
        <v>27</v>
      </c>
      <c r="L36" s="58">
        <v>484</v>
      </c>
      <c r="M36" s="58">
        <v>501</v>
      </c>
      <c r="N36" s="58">
        <v>204</v>
      </c>
      <c r="O36" s="58">
        <v>405</v>
      </c>
      <c r="P36" s="58">
        <v>1069</v>
      </c>
      <c r="Q36" s="58">
        <v>484</v>
      </c>
      <c r="R36" s="58">
        <v>879</v>
      </c>
      <c r="S36" s="58">
        <v>28</v>
      </c>
      <c r="T36" s="58">
        <v>20</v>
      </c>
      <c r="U36" s="58"/>
      <c r="V36" s="38">
        <f>SUM(B36:U36)</f>
        <v>18918</v>
      </c>
      <c r="W36" s="36">
        <f>+V37-V36-V35</f>
        <v>0</v>
      </c>
      <c r="X36" s="64"/>
      <c r="Y36" s="41"/>
    </row>
    <row r="37" spans="1:25" s="72" customFormat="1" ht="14.25" customHeight="1">
      <c r="A37" s="68" t="s">
        <v>63</v>
      </c>
      <c r="B37" s="69">
        <f aca="true" t="shared" si="8" ref="B37:U37">+B35+B36</f>
        <v>6895</v>
      </c>
      <c r="C37" s="69">
        <f t="shared" si="8"/>
        <v>5356</v>
      </c>
      <c r="D37" s="69">
        <f t="shared" si="8"/>
        <v>5944</v>
      </c>
      <c r="E37" s="69">
        <f t="shared" si="8"/>
        <v>543</v>
      </c>
      <c r="F37" s="69">
        <f t="shared" si="8"/>
        <v>9757</v>
      </c>
      <c r="G37" s="69">
        <f t="shared" si="8"/>
        <v>4821</v>
      </c>
      <c r="H37" s="69">
        <f t="shared" si="8"/>
        <v>810</v>
      </c>
      <c r="I37" s="69">
        <f t="shared" si="8"/>
        <v>2748</v>
      </c>
      <c r="J37" s="69">
        <f t="shared" si="8"/>
        <v>2576</v>
      </c>
      <c r="K37" s="69">
        <f t="shared" si="8"/>
        <v>154</v>
      </c>
      <c r="L37" s="69">
        <f t="shared" si="8"/>
        <v>1980</v>
      </c>
      <c r="M37" s="69">
        <f t="shared" si="8"/>
        <v>2276</v>
      </c>
      <c r="N37" s="69">
        <f t="shared" si="8"/>
        <v>662</v>
      </c>
      <c r="O37" s="69">
        <f t="shared" si="8"/>
        <v>962</v>
      </c>
      <c r="P37" s="69">
        <f t="shared" si="8"/>
        <v>2518</v>
      </c>
      <c r="Q37" s="69">
        <f t="shared" si="8"/>
        <v>1774</v>
      </c>
      <c r="R37" s="69">
        <f t="shared" si="8"/>
        <v>1936</v>
      </c>
      <c r="S37" s="69">
        <f t="shared" si="8"/>
        <v>346</v>
      </c>
      <c r="T37" s="69">
        <f t="shared" si="8"/>
        <v>540</v>
      </c>
      <c r="U37" s="69">
        <f t="shared" si="8"/>
        <v>168</v>
      </c>
      <c r="V37" s="70">
        <f>SUM(B37:U37)</f>
        <v>52766</v>
      </c>
      <c r="W37" s="51">
        <f>+V37-V36-SUM(V29:V34)</f>
        <v>0</v>
      </c>
      <c r="X37" s="65"/>
      <c r="Y37" s="71"/>
    </row>
    <row r="38" spans="1:25" ht="12">
      <c r="A38" s="73" t="s">
        <v>88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5"/>
      <c r="S38" s="75"/>
      <c r="T38" s="75"/>
      <c r="U38" s="75"/>
      <c r="V38" s="75"/>
      <c r="W38" s="76"/>
      <c r="X38" s="75"/>
      <c r="Y38" s="75"/>
    </row>
    <row r="39" spans="1:25" ht="12">
      <c r="A39" s="73" t="s">
        <v>90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5"/>
      <c r="S39" s="75"/>
      <c r="T39" s="75"/>
      <c r="U39" s="75"/>
      <c r="V39" s="75"/>
      <c r="W39" s="76"/>
      <c r="X39" s="75"/>
      <c r="Y39" s="75"/>
    </row>
    <row r="40" spans="1:25" ht="12">
      <c r="A40" s="77" t="s">
        <v>66</v>
      </c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9"/>
      <c r="X40" s="80"/>
      <c r="Y40" s="80"/>
    </row>
    <row r="42" spans="1:25" ht="12">
      <c r="A42" s="81" t="s">
        <v>67</v>
      </c>
      <c r="B42" s="82"/>
      <c r="C42" s="82"/>
      <c r="D42" s="81"/>
      <c r="E42" s="81"/>
      <c r="F42" s="83"/>
      <c r="G42" s="81"/>
      <c r="H42" s="81"/>
      <c r="I42" s="83"/>
      <c r="J42" s="83"/>
      <c r="K42" s="81"/>
      <c r="L42" s="81"/>
      <c r="M42" s="81"/>
      <c r="N42" s="81"/>
      <c r="O42" s="83"/>
      <c r="P42" s="83"/>
      <c r="Q42" s="83"/>
      <c r="R42" s="83"/>
      <c r="S42" s="83"/>
      <c r="T42" s="83"/>
      <c r="U42" s="83"/>
      <c r="V42" s="81"/>
      <c r="W42" s="21"/>
      <c r="X42" s="21"/>
      <c r="Y42" s="21"/>
    </row>
    <row r="43" spans="1:25" ht="12">
      <c r="A43" s="84" t="s">
        <v>68</v>
      </c>
      <c r="B43" s="84">
        <v>2126</v>
      </c>
      <c r="C43" s="85">
        <v>1929</v>
      </c>
      <c r="D43" s="85">
        <v>2249</v>
      </c>
      <c r="E43" s="85">
        <v>210</v>
      </c>
      <c r="F43" s="86">
        <v>2696</v>
      </c>
      <c r="G43" s="85">
        <v>1160</v>
      </c>
      <c r="H43" s="85">
        <v>177</v>
      </c>
      <c r="I43" s="86">
        <v>414</v>
      </c>
      <c r="J43" s="86">
        <v>1512</v>
      </c>
      <c r="K43" s="87">
        <v>81</v>
      </c>
      <c r="L43" s="85">
        <v>532</v>
      </c>
      <c r="M43" s="85">
        <v>1941</v>
      </c>
      <c r="N43" s="85">
        <v>472</v>
      </c>
      <c r="O43" s="86">
        <v>186</v>
      </c>
      <c r="P43" s="87">
        <v>675</v>
      </c>
      <c r="Q43" s="87">
        <v>318</v>
      </c>
      <c r="R43" s="87">
        <v>437</v>
      </c>
      <c r="S43" s="87"/>
      <c r="T43" s="87"/>
      <c r="U43" s="87"/>
      <c r="V43" s="88">
        <v>17115</v>
      </c>
      <c r="W43" s="2"/>
      <c r="X43" s="2"/>
      <c r="Y43" s="2"/>
    </row>
    <row r="44" spans="1:25" ht="12">
      <c r="A44" s="89" t="s">
        <v>69</v>
      </c>
      <c r="B44" s="89">
        <v>1741</v>
      </c>
      <c r="C44" s="39">
        <v>1413</v>
      </c>
      <c r="D44" s="39">
        <v>1743</v>
      </c>
      <c r="E44" s="39">
        <v>155</v>
      </c>
      <c r="F44" s="39">
        <v>2350</v>
      </c>
      <c r="G44" s="39">
        <v>809</v>
      </c>
      <c r="H44" s="39"/>
      <c r="I44" s="39">
        <v>351</v>
      </c>
      <c r="J44" s="39">
        <v>1308</v>
      </c>
      <c r="K44" s="87">
        <v>88</v>
      </c>
      <c r="L44" s="39">
        <v>397</v>
      </c>
      <c r="M44" s="39">
        <v>1764</v>
      </c>
      <c r="N44" s="39">
        <v>286</v>
      </c>
      <c r="O44" s="39">
        <v>224</v>
      </c>
      <c r="P44" s="87">
        <v>508</v>
      </c>
      <c r="Q44" s="87">
        <v>340</v>
      </c>
      <c r="R44" s="87">
        <v>359</v>
      </c>
      <c r="S44" s="87"/>
      <c r="T44" s="87"/>
      <c r="U44" s="87"/>
      <c r="V44" s="88">
        <v>13836</v>
      </c>
      <c r="W44" s="39"/>
      <c r="X44" s="39"/>
      <c r="Y44" s="39"/>
    </row>
    <row r="45" spans="1:25" ht="12">
      <c r="A45" s="89" t="s">
        <v>70</v>
      </c>
      <c r="B45" s="89">
        <v>1837</v>
      </c>
      <c r="C45" s="39">
        <v>1449</v>
      </c>
      <c r="D45" s="39">
        <v>1747</v>
      </c>
      <c r="E45" s="39">
        <v>203</v>
      </c>
      <c r="F45" s="39">
        <v>2317</v>
      </c>
      <c r="G45" s="39">
        <v>773</v>
      </c>
      <c r="H45" s="39">
        <v>134</v>
      </c>
      <c r="I45" s="39">
        <v>352</v>
      </c>
      <c r="J45" s="39">
        <v>1108</v>
      </c>
      <c r="K45" s="87">
        <v>99</v>
      </c>
      <c r="L45" s="39">
        <v>418</v>
      </c>
      <c r="M45" s="39">
        <v>1437</v>
      </c>
      <c r="N45" s="39">
        <v>207</v>
      </c>
      <c r="O45" s="39">
        <v>251</v>
      </c>
      <c r="P45" s="87"/>
      <c r="Q45" s="87">
        <v>330</v>
      </c>
      <c r="R45" s="87">
        <v>264</v>
      </c>
      <c r="S45" s="87"/>
      <c r="T45" s="87"/>
      <c r="U45" s="87"/>
      <c r="V45" s="88">
        <v>12926</v>
      </c>
      <c r="W45" s="39"/>
      <c r="X45" s="39"/>
      <c r="Y45" s="39"/>
    </row>
    <row r="46" spans="1:25" ht="12">
      <c r="A46" s="89" t="s">
        <v>71</v>
      </c>
      <c r="B46" s="89">
        <v>2138</v>
      </c>
      <c r="C46" s="39">
        <v>1322</v>
      </c>
      <c r="D46" s="39">
        <v>1612</v>
      </c>
      <c r="E46" s="39">
        <v>174</v>
      </c>
      <c r="F46" s="39">
        <v>2131</v>
      </c>
      <c r="G46" s="39">
        <v>557</v>
      </c>
      <c r="H46" s="39">
        <v>156</v>
      </c>
      <c r="I46" s="39">
        <v>363</v>
      </c>
      <c r="J46" s="39">
        <v>985</v>
      </c>
      <c r="K46" s="87">
        <v>101</v>
      </c>
      <c r="L46" s="39">
        <v>421</v>
      </c>
      <c r="M46" s="39">
        <v>1275</v>
      </c>
      <c r="N46" s="39">
        <v>207</v>
      </c>
      <c r="O46" s="39">
        <v>221</v>
      </c>
      <c r="P46" s="87"/>
      <c r="Q46" s="87">
        <v>605</v>
      </c>
      <c r="R46" s="87">
        <v>212</v>
      </c>
      <c r="S46" s="87"/>
      <c r="T46" s="87"/>
      <c r="U46" s="87"/>
      <c r="V46" s="88">
        <v>12480</v>
      </c>
      <c r="W46" s="39"/>
      <c r="X46" s="39"/>
      <c r="Y46" s="39"/>
    </row>
    <row r="47" spans="1:25" ht="12">
      <c r="A47" s="89" t="s">
        <v>72</v>
      </c>
      <c r="B47" s="89"/>
      <c r="C47" s="39"/>
      <c r="D47" s="39"/>
      <c r="E47" s="39"/>
      <c r="F47" s="39">
        <v>0</v>
      </c>
      <c r="G47" s="39">
        <v>0</v>
      </c>
      <c r="H47" s="39">
        <v>0</v>
      </c>
      <c r="I47" s="39">
        <v>325</v>
      </c>
      <c r="J47" s="39">
        <v>294</v>
      </c>
      <c r="K47" s="87">
        <v>114</v>
      </c>
      <c r="L47" s="39">
        <v>309</v>
      </c>
      <c r="M47" s="39">
        <v>1117</v>
      </c>
      <c r="N47" s="39">
        <v>163</v>
      </c>
      <c r="O47" s="39">
        <v>205</v>
      </c>
      <c r="P47" s="87"/>
      <c r="Q47" s="87">
        <v>592</v>
      </c>
      <c r="R47" s="87"/>
      <c r="S47" s="87"/>
      <c r="T47" s="87"/>
      <c r="U47" s="87"/>
      <c r="V47" s="88">
        <v>3119</v>
      </c>
      <c r="W47" s="39"/>
      <c r="X47" s="39"/>
      <c r="Y47" s="39"/>
    </row>
    <row r="48" spans="1:25" ht="12">
      <c r="A48" s="89" t="s">
        <v>73</v>
      </c>
      <c r="B48" s="89"/>
      <c r="C48" s="39"/>
      <c r="D48" s="39"/>
      <c r="E48" s="39"/>
      <c r="F48" s="39">
        <v>0</v>
      </c>
      <c r="G48" s="39">
        <v>0</v>
      </c>
      <c r="H48" s="39">
        <v>0</v>
      </c>
      <c r="I48" s="39">
        <v>360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87"/>
      <c r="Q48" s="87"/>
      <c r="R48" s="87"/>
      <c r="S48" s="87"/>
      <c r="T48" s="87"/>
      <c r="U48" s="87"/>
      <c r="V48" s="88">
        <v>360</v>
      </c>
      <c r="W48" s="39"/>
      <c r="X48" s="39"/>
      <c r="Y48" s="39"/>
    </row>
    <row r="49" spans="1:25" ht="12">
      <c r="A49" s="90" t="s">
        <v>74</v>
      </c>
      <c r="B49" s="51">
        <v>7842</v>
      </c>
      <c r="C49" s="51">
        <v>6113</v>
      </c>
      <c r="D49" s="51">
        <v>7351</v>
      </c>
      <c r="E49" s="51">
        <v>742</v>
      </c>
      <c r="F49" s="51">
        <v>9494</v>
      </c>
      <c r="G49" s="51">
        <v>3299</v>
      </c>
      <c r="H49" s="51">
        <v>467</v>
      </c>
      <c r="I49" s="51">
        <v>2165</v>
      </c>
      <c r="J49" s="51">
        <v>5207</v>
      </c>
      <c r="K49" s="51">
        <v>483</v>
      </c>
      <c r="L49" s="51">
        <v>2077</v>
      </c>
      <c r="M49" s="51">
        <v>7534</v>
      </c>
      <c r="N49" s="51">
        <v>1335</v>
      </c>
      <c r="O49" s="51">
        <v>1087</v>
      </c>
      <c r="P49" s="51">
        <v>1183</v>
      </c>
      <c r="Q49" s="51">
        <v>2185</v>
      </c>
      <c r="R49" s="51">
        <v>1272</v>
      </c>
      <c r="S49" s="51"/>
      <c r="T49" s="51"/>
      <c r="U49" s="51"/>
      <c r="V49" s="88">
        <v>59836</v>
      </c>
      <c r="W49" s="51">
        <v>59836</v>
      </c>
      <c r="X49" s="51"/>
      <c r="Y49" s="51"/>
    </row>
    <row r="50" spans="1:25" ht="12">
      <c r="A50" s="87" t="s">
        <v>75</v>
      </c>
      <c r="B50" s="91">
        <v>7389</v>
      </c>
      <c r="C50" s="91">
        <v>3786</v>
      </c>
      <c r="D50" s="91">
        <v>5344</v>
      </c>
      <c r="E50" s="91">
        <v>458</v>
      </c>
      <c r="F50" s="91">
        <v>6902</v>
      </c>
      <c r="G50" s="91">
        <v>1968</v>
      </c>
      <c r="H50" s="91">
        <v>247</v>
      </c>
      <c r="I50" s="91">
        <v>1222</v>
      </c>
      <c r="J50" s="39">
        <v>2527</v>
      </c>
      <c r="K50" s="91">
        <v>169</v>
      </c>
      <c r="L50" s="91">
        <v>705</v>
      </c>
      <c r="M50" s="91">
        <v>5275</v>
      </c>
      <c r="N50" s="91">
        <v>760</v>
      </c>
      <c r="O50" s="91">
        <v>559</v>
      </c>
      <c r="P50" s="87">
        <v>1</v>
      </c>
      <c r="Q50" s="87">
        <v>552</v>
      </c>
      <c r="R50" s="87">
        <v>103</v>
      </c>
      <c r="S50" s="87"/>
      <c r="T50" s="87"/>
      <c r="U50" s="87"/>
      <c r="V50" s="92">
        <v>37967</v>
      </c>
      <c r="W50" s="39"/>
      <c r="X50" s="39"/>
      <c r="Y50" s="39"/>
    </row>
    <row r="51" spans="1:25" ht="12">
      <c r="A51" s="93" t="s">
        <v>76</v>
      </c>
      <c r="B51" s="94">
        <v>15231</v>
      </c>
      <c r="C51" s="94">
        <v>9899</v>
      </c>
      <c r="D51" s="94">
        <v>12695</v>
      </c>
      <c r="E51" s="94">
        <v>1200</v>
      </c>
      <c r="F51" s="94">
        <v>16396</v>
      </c>
      <c r="G51" s="94">
        <v>5267</v>
      </c>
      <c r="H51" s="94">
        <v>714</v>
      </c>
      <c r="I51" s="94">
        <v>3387</v>
      </c>
      <c r="J51" s="94">
        <v>7734</v>
      </c>
      <c r="K51" s="94">
        <v>652</v>
      </c>
      <c r="L51" s="94">
        <v>2782</v>
      </c>
      <c r="M51" s="94">
        <v>12809</v>
      </c>
      <c r="N51" s="94">
        <v>2095</v>
      </c>
      <c r="O51" s="94">
        <v>1646</v>
      </c>
      <c r="P51" s="94">
        <v>1184</v>
      </c>
      <c r="Q51" s="94">
        <v>2737</v>
      </c>
      <c r="R51" s="94">
        <v>1375</v>
      </c>
      <c r="S51" s="94"/>
      <c r="T51" s="94"/>
      <c r="U51" s="94"/>
      <c r="V51" s="88">
        <v>97803</v>
      </c>
      <c r="W51" s="94"/>
      <c r="X51" s="94"/>
      <c r="Y51" s="94"/>
    </row>
    <row r="52" spans="1:25" ht="12">
      <c r="A52" s="95" t="s">
        <v>64</v>
      </c>
      <c r="B52" s="82"/>
      <c r="C52" s="82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87"/>
      <c r="Q52" s="87"/>
      <c r="R52" s="87"/>
      <c r="S52" s="87"/>
      <c r="T52" s="87"/>
      <c r="U52" s="87"/>
      <c r="V52" s="95"/>
      <c r="W52" s="56"/>
      <c r="X52" s="56"/>
      <c r="Y52" s="56"/>
    </row>
    <row r="53" spans="1:25" ht="12">
      <c r="A53" s="84" t="s">
        <v>68</v>
      </c>
      <c r="B53" s="96">
        <v>923</v>
      </c>
      <c r="C53" s="96">
        <v>881</v>
      </c>
      <c r="D53" s="96">
        <v>1225</v>
      </c>
      <c r="E53" s="96">
        <v>106</v>
      </c>
      <c r="F53" s="96">
        <v>1122</v>
      </c>
      <c r="G53" s="96">
        <v>170</v>
      </c>
      <c r="H53" s="96">
        <v>19</v>
      </c>
      <c r="I53" s="96">
        <v>177</v>
      </c>
      <c r="J53" s="96">
        <v>872</v>
      </c>
      <c r="K53" s="96">
        <v>49</v>
      </c>
      <c r="L53" s="96">
        <v>168</v>
      </c>
      <c r="M53" s="96">
        <v>1603</v>
      </c>
      <c r="N53" s="96">
        <v>273</v>
      </c>
      <c r="O53" s="96">
        <v>70</v>
      </c>
      <c r="P53" s="96">
        <v>94</v>
      </c>
      <c r="Q53" s="96">
        <v>72</v>
      </c>
      <c r="R53" s="96">
        <v>116</v>
      </c>
      <c r="S53" s="96"/>
      <c r="T53" s="96"/>
      <c r="U53" s="96"/>
      <c r="V53" s="88">
        <v>7940</v>
      </c>
      <c r="W53" s="39"/>
      <c r="X53" s="39"/>
      <c r="Y53" s="39"/>
    </row>
    <row r="54" spans="1:25" ht="12">
      <c r="A54" s="89" t="s">
        <v>69</v>
      </c>
      <c r="B54" s="96">
        <v>762</v>
      </c>
      <c r="C54" s="96">
        <v>706</v>
      </c>
      <c r="D54" s="96">
        <v>899</v>
      </c>
      <c r="E54" s="96">
        <v>89</v>
      </c>
      <c r="F54" s="96">
        <v>987</v>
      </c>
      <c r="G54" s="96">
        <v>103</v>
      </c>
      <c r="H54" s="96">
        <v>0</v>
      </c>
      <c r="I54" s="96">
        <v>143</v>
      </c>
      <c r="J54" s="96">
        <v>714</v>
      </c>
      <c r="K54" s="96">
        <v>58</v>
      </c>
      <c r="L54" s="96">
        <v>112</v>
      </c>
      <c r="M54" s="96">
        <v>1429</v>
      </c>
      <c r="N54" s="96">
        <v>182</v>
      </c>
      <c r="O54" s="96">
        <v>92</v>
      </c>
      <c r="P54" s="96">
        <v>70</v>
      </c>
      <c r="Q54" s="96">
        <v>67</v>
      </c>
      <c r="R54" s="96">
        <v>74</v>
      </c>
      <c r="S54" s="96"/>
      <c r="T54" s="96"/>
      <c r="U54" s="96"/>
      <c r="V54" s="88">
        <v>6487</v>
      </c>
      <c r="W54" s="39"/>
      <c r="X54" s="39"/>
      <c r="Y54" s="39"/>
    </row>
    <row r="55" spans="1:25" ht="12">
      <c r="A55" s="89" t="s">
        <v>70</v>
      </c>
      <c r="B55" s="96">
        <v>831</v>
      </c>
      <c r="C55" s="96">
        <v>696</v>
      </c>
      <c r="D55" s="96">
        <v>938</v>
      </c>
      <c r="E55" s="96">
        <v>102</v>
      </c>
      <c r="F55" s="96">
        <v>855</v>
      </c>
      <c r="G55" s="96">
        <v>93</v>
      </c>
      <c r="H55" s="96">
        <v>18</v>
      </c>
      <c r="I55" s="96">
        <v>149</v>
      </c>
      <c r="J55" s="96">
        <v>575</v>
      </c>
      <c r="K55" s="96">
        <v>71</v>
      </c>
      <c r="L55" s="96">
        <v>128</v>
      </c>
      <c r="M55" s="96">
        <v>1196</v>
      </c>
      <c r="N55" s="96">
        <v>142</v>
      </c>
      <c r="O55" s="96">
        <v>100</v>
      </c>
      <c r="P55" s="96">
        <v>0</v>
      </c>
      <c r="Q55" s="96">
        <v>64</v>
      </c>
      <c r="R55" s="96">
        <v>51</v>
      </c>
      <c r="S55" s="96"/>
      <c r="T55" s="96"/>
      <c r="U55" s="96"/>
      <c r="V55" s="88">
        <v>6009</v>
      </c>
      <c r="W55" s="39"/>
      <c r="X55" s="39"/>
      <c r="Y55" s="39"/>
    </row>
    <row r="56" spans="1:25" ht="12">
      <c r="A56" s="89" t="s">
        <v>71</v>
      </c>
      <c r="B56" s="96">
        <v>914</v>
      </c>
      <c r="C56" s="96">
        <v>621</v>
      </c>
      <c r="D56" s="96">
        <v>864</v>
      </c>
      <c r="E56" s="96">
        <v>66</v>
      </c>
      <c r="F56" s="96">
        <v>681</v>
      </c>
      <c r="G56" s="96">
        <v>61</v>
      </c>
      <c r="H56" s="96">
        <v>19</v>
      </c>
      <c r="I56" s="96">
        <v>154</v>
      </c>
      <c r="J56" s="96">
        <v>525</v>
      </c>
      <c r="K56" s="96">
        <v>65</v>
      </c>
      <c r="L56" s="96">
        <v>150</v>
      </c>
      <c r="M56" s="96">
        <v>1089</v>
      </c>
      <c r="N56" s="96">
        <v>130</v>
      </c>
      <c r="O56" s="96">
        <v>86</v>
      </c>
      <c r="P56" s="96">
        <v>0</v>
      </c>
      <c r="Q56" s="96">
        <v>113</v>
      </c>
      <c r="R56" s="96">
        <v>52</v>
      </c>
      <c r="S56" s="96"/>
      <c r="T56" s="96"/>
      <c r="U56" s="96"/>
      <c r="V56" s="88">
        <v>5590</v>
      </c>
      <c r="W56" s="42"/>
      <c r="X56" s="42"/>
      <c r="Y56" s="42"/>
    </row>
    <row r="57" spans="1:25" ht="12">
      <c r="A57" s="89" t="s">
        <v>72</v>
      </c>
      <c r="B57" s="96">
        <v>0</v>
      </c>
      <c r="C57" s="96">
        <v>0</v>
      </c>
      <c r="D57" s="96">
        <v>0</v>
      </c>
      <c r="E57" s="96">
        <v>0</v>
      </c>
      <c r="F57" s="96">
        <v>0</v>
      </c>
      <c r="G57" s="96">
        <v>0</v>
      </c>
      <c r="H57" s="96">
        <v>0</v>
      </c>
      <c r="I57" s="96">
        <v>145</v>
      </c>
      <c r="J57" s="96">
        <v>121</v>
      </c>
      <c r="K57" s="96">
        <v>65</v>
      </c>
      <c r="L57" s="96">
        <v>76</v>
      </c>
      <c r="M57" s="96">
        <v>941</v>
      </c>
      <c r="N57" s="96">
        <v>126</v>
      </c>
      <c r="O57" s="96">
        <v>88</v>
      </c>
      <c r="P57" s="96">
        <v>0</v>
      </c>
      <c r="Q57" s="96">
        <v>108</v>
      </c>
      <c r="R57" s="96">
        <v>0</v>
      </c>
      <c r="S57" s="96"/>
      <c r="T57" s="96"/>
      <c r="U57" s="96"/>
      <c r="V57" s="88">
        <v>1670</v>
      </c>
      <c r="W57" s="42"/>
      <c r="X57" s="42"/>
      <c r="Y57" s="42"/>
    </row>
    <row r="58" spans="1:25" ht="12">
      <c r="A58" s="89" t="s">
        <v>73</v>
      </c>
      <c r="B58" s="96">
        <v>0</v>
      </c>
      <c r="C58" s="96">
        <v>0</v>
      </c>
      <c r="D58" s="96">
        <v>0</v>
      </c>
      <c r="E58" s="96">
        <v>0</v>
      </c>
      <c r="F58" s="96">
        <v>0</v>
      </c>
      <c r="G58" s="96">
        <v>0</v>
      </c>
      <c r="H58" s="96">
        <v>0</v>
      </c>
      <c r="I58" s="96">
        <v>185</v>
      </c>
      <c r="J58" s="96">
        <v>0</v>
      </c>
      <c r="K58" s="96">
        <v>0</v>
      </c>
      <c r="L58" s="96">
        <v>0</v>
      </c>
      <c r="M58" s="96">
        <v>0</v>
      </c>
      <c r="N58" s="96">
        <v>0</v>
      </c>
      <c r="O58" s="96">
        <v>0</v>
      </c>
      <c r="P58" s="96">
        <v>0</v>
      </c>
      <c r="Q58" s="96">
        <v>0</v>
      </c>
      <c r="R58" s="96">
        <v>0</v>
      </c>
      <c r="S58" s="96"/>
      <c r="T58" s="96"/>
      <c r="U58" s="96"/>
      <c r="V58" s="88">
        <v>185</v>
      </c>
      <c r="W58" s="43"/>
      <c r="X58" s="43"/>
      <c r="Y58" s="43"/>
    </row>
    <row r="59" spans="1:25" ht="12">
      <c r="A59" s="90" t="s">
        <v>74</v>
      </c>
      <c r="B59" s="97">
        <v>3430</v>
      </c>
      <c r="C59" s="97">
        <v>2904</v>
      </c>
      <c r="D59" s="97">
        <v>3926</v>
      </c>
      <c r="E59" s="97">
        <v>363</v>
      </c>
      <c r="F59" s="97">
        <v>3645</v>
      </c>
      <c r="G59" s="97">
        <v>427</v>
      </c>
      <c r="H59" s="97">
        <v>56</v>
      </c>
      <c r="I59" s="97">
        <v>953</v>
      </c>
      <c r="J59" s="97">
        <v>2807</v>
      </c>
      <c r="K59" s="97">
        <v>308</v>
      </c>
      <c r="L59" s="97">
        <v>634</v>
      </c>
      <c r="M59" s="97">
        <v>6258</v>
      </c>
      <c r="N59" s="97">
        <v>853</v>
      </c>
      <c r="O59" s="97">
        <v>436</v>
      </c>
      <c r="P59" s="97">
        <v>164</v>
      </c>
      <c r="Q59" s="97">
        <v>424</v>
      </c>
      <c r="R59" s="97">
        <v>293</v>
      </c>
      <c r="S59" s="97"/>
      <c r="T59" s="97"/>
      <c r="U59" s="97"/>
      <c r="V59" s="88">
        <v>27881</v>
      </c>
      <c r="W59" s="51">
        <v>27881</v>
      </c>
      <c r="X59" s="98">
        <v>0</v>
      </c>
      <c r="Y59" s="99"/>
    </row>
    <row r="60" spans="1:25" ht="12">
      <c r="A60" s="87" t="s">
        <v>75</v>
      </c>
      <c r="B60" s="92">
        <v>3276</v>
      </c>
      <c r="C60" s="92">
        <v>1777</v>
      </c>
      <c r="D60" s="92">
        <v>3102</v>
      </c>
      <c r="E60" s="92">
        <v>226</v>
      </c>
      <c r="F60" s="92">
        <v>2263</v>
      </c>
      <c r="G60" s="92">
        <v>205</v>
      </c>
      <c r="H60" s="92">
        <v>10</v>
      </c>
      <c r="I60" s="92">
        <v>664</v>
      </c>
      <c r="J60" s="92">
        <v>1434</v>
      </c>
      <c r="K60" s="92">
        <v>102</v>
      </c>
      <c r="L60" s="92">
        <v>223</v>
      </c>
      <c r="M60" s="92">
        <v>4659</v>
      </c>
      <c r="N60" s="92">
        <v>609</v>
      </c>
      <c r="O60" s="92">
        <v>246</v>
      </c>
      <c r="P60" s="92">
        <v>0</v>
      </c>
      <c r="Q60" s="92">
        <v>135</v>
      </c>
      <c r="R60" s="92">
        <v>17</v>
      </c>
      <c r="S60" s="92"/>
      <c r="T60" s="92"/>
      <c r="U60" s="92"/>
      <c r="V60" s="88">
        <v>18948</v>
      </c>
      <c r="W60" s="51"/>
      <c r="X60" s="79">
        <v>46829</v>
      </c>
      <c r="Y60" s="100"/>
    </row>
    <row r="61" spans="1:25" ht="12">
      <c r="A61" s="93" t="s">
        <v>76</v>
      </c>
      <c r="B61" s="97">
        <v>6706</v>
      </c>
      <c r="C61" s="97">
        <v>4681</v>
      </c>
      <c r="D61" s="97">
        <v>7028</v>
      </c>
      <c r="E61" s="97">
        <v>589</v>
      </c>
      <c r="F61" s="97">
        <v>5908</v>
      </c>
      <c r="G61" s="97">
        <v>632</v>
      </c>
      <c r="H61" s="97">
        <v>66</v>
      </c>
      <c r="I61" s="97">
        <v>1617</v>
      </c>
      <c r="J61" s="97">
        <v>4241</v>
      </c>
      <c r="K61" s="97">
        <v>410</v>
      </c>
      <c r="L61" s="97">
        <v>857</v>
      </c>
      <c r="M61" s="97">
        <v>10917</v>
      </c>
      <c r="N61" s="97">
        <v>1462</v>
      </c>
      <c r="O61" s="97">
        <v>682</v>
      </c>
      <c r="P61" s="97">
        <v>164</v>
      </c>
      <c r="Q61" s="97">
        <v>559</v>
      </c>
      <c r="R61" s="97">
        <v>310</v>
      </c>
      <c r="S61" s="97"/>
      <c r="T61" s="97"/>
      <c r="U61" s="97"/>
      <c r="V61" s="88">
        <v>46829</v>
      </c>
      <c r="W61" s="51">
        <v>46829</v>
      </c>
      <c r="X61" s="94">
        <v>0</v>
      </c>
      <c r="Y61" s="94"/>
    </row>
    <row r="62" spans="1:25" ht="12">
      <c r="A62" s="101" t="s">
        <v>65</v>
      </c>
      <c r="B62" s="82"/>
      <c r="C62" s="82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87"/>
      <c r="Q62" s="87"/>
      <c r="R62" s="87"/>
      <c r="S62" s="87"/>
      <c r="T62" s="87"/>
      <c r="U62" s="87"/>
      <c r="V62" s="102"/>
      <c r="W62" s="56"/>
      <c r="X62" s="56"/>
      <c r="Y62" s="56"/>
    </row>
    <row r="63" spans="1:25" ht="12">
      <c r="A63" s="89" t="s">
        <v>68</v>
      </c>
      <c r="B63" s="39">
        <v>1203</v>
      </c>
      <c r="C63" s="39">
        <v>1048</v>
      </c>
      <c r="D63" s="39">
        <v>1024</v>
      </c>
      <c r="E63" s="39">
        <v>104</v>
      </c>
      <c r="F63" s="39">
        <v>1574</v>
      </c>
      <c r="G63" s="39">
        <v>990</v>
      </c>
      <c r="H63" s="39">
        <v>158</v>
      </c>
      <c r="I63" s="39">
        <v>237</v>
      </c>
      <c r="J63" s="39">
        <v>640</v>
      </c>
      <c r="K63" s="87">
        <v>32</v>
      </c>
      <c r="L63" s="39">
        <v>364</v>
      </c>
      <c r="M63" s="39">
        <v>338</v>
      </c>
      <c r="N63" s="39">
        <v>199</v>
      </c>
      <c r="O63" s="39">
        <v>116</v>
      </c>
      <c r="P63" s="87">
        <v>581</v>
      </c>
      <c r="Q63" s="87">
        <v>246</v>
      </c>
      <c r="R63" s="87">
        <v>321</v>
      </c>
      <c r="S63" s="87"/>
      <c r="T63" s="87"/>
      <c r="U63" s="87"/>
      <c r="V63" s="88">
        <v>9175</v>
      </c>
      <c r="W63" s="39"/>
      <c r="X63" s="39"/>
      <c r="Y63" s="39"/>
    </row>
    <row r="64" spans="1:25" ht="12">
      <c r="A64" s="89" t="s">
        <v>69</v>
      </c>
      <c r="B64" s="39">
        <v>979</v>
      </c>
      <c r="C64" s="39">
        <v>707</v>
      </c>
      <c r="D64" s="39">
        <v>844</v>
      </c>
      <c r="E64" s="39">
        <v>66</v>
      </c>
      <c r="F64" s="39">
        <v>1363</v>
      </c>
      <c r="G64" s="39">
        <v>706</v>
      </c>
      <c r="H64" s="39"/>
      <c r="I64" s="39">
        <v>208</v>
      </c>
      <c r="J64" s="39">
        <v>594</v>
      </c>
      <c r="K64" s="87">
        <v>30</v>
      </c>
      <c r="L64" s="39">
        <v>285</v>
      </c>
      <c r="M64" s="39">
        <v>335</v>
      </c>
      <c r="N64" s="39">
        <v>104</v>
      </c>
      <c r="O64" s="39">
        <v>132</v>
      </c>
      <c r="P64" s="87">
        <v>438</v>
      </c>
      <c r="Q64" s="87">
        <v>273</v>
      </c>
      <c r="R64" s="87">
        <v>285</v>
      </c>
      <c r="S64" s="87"/>
      <c r="T64" s="87"/>
      <c r="U64" s="87"/>
      <c r="V64" s="88">
        <v>7349</v>
      </c>
      <c r="W64" s="39"/>
      <c r="X64" s="39"/>
      <c r="Y64" s="39"/>
    </row>
    <row r="65" spans="1:25" ht="12">
      <c r="A65" s="89" t="s">
        <v>70</v>
      </c>
      <c r="B65" s="39">
        <v>1006</v>
      </c>
      <c r="C65" s="39">
        <v>753</v>
      </c>
      <c r="D65" s="39">
        <v>809</v>
      </c>
      <c r="E65" s="39">
        <v>101</v>
      </c>
      <c r="F65" s="39">
        <v>1462</v>
      </c>
      <c r="G65" s="39">
        <v>680</v>
      </c>
      <c r="H65" s="39">
        <v>116</v>
      </c>
      <c r="I65" s="39">
        <v>203</v>
      </c>
      <c r="J65" s="39">
        <v>533</v>
      </c>
      <c r="K65" s="87">
        <v>28</v>
      </c>
      <c r="L65" s="39">
        <v>290</v>
      </c>
      <c r="M65" s="39">
        <v>241</v>
      </c>
      <c r="N65" s="39">
        <v>65</v>
      </c>
      <c r="O65" s="39">
        <v>151</v>
      </c>
      <c r="P65" s="87"/>
      <c r="Q65" s="87">
        <v>266</v>
      </c>
      <c r="R65" s="87">
        <v>213</v>
      </c>
      <c r="S65" s="87"/>
      <c r="T65" s="87"/>
      <c r="U65" s="87"/>
      <c r="V65" s="88">
        <v>6917</v>
      </c>
      <c r="W65" s="39"/>
      <c r="X65" s="39"/>
      <c r="Y65" s="39"/>
    </row>
    <row r="66" spans="1:25" ht="12">
      <c r="A66" s="89" t="s">
        <v>71</v>
      </c>
      <c r="B66" s="39">
        <v>1224</v>
      </c>
      <c r="C66" s="39">
        <v>701</v>
      </c>
      <c r="D66" s="39">
        <v>748</v>
      </c>
      <c r="E66" s="39">
        <v>108</v>
      </c>
      <c r="F66" s="39">
        <v>1450</v>
      </c>
      <c r="G66" s="39">
        <v>496</v>
      </c>
      <c r="H66" s="39">
        <v>137</v>
      </c>
      <c r="I66" s="39">
        <v>209</v>
      </c>
      <c r="J66" s="39">
        <v>460</v>
      </c>
      <c r="K66" s="87">
        <v>36</v>
      </c>
      <c r="L66" s="39">
        <v>271</v>
      </c>
      <c r="M66" s="39">
        <v>186</v>
      </c>
      <c r="N66" s="39">
        <v>77</v>
      </c>
      <c r="O66" s="39">
        <v>135</v>
      </c>
      <c r="P66" s="87"/>
      <c r="Q66" s="87">
        <v>492</v>
      </c>
      <c r="R66" s="87">
        <v>160</v>
      </c>
      <c r="S66" s="87"/>
      <c r="T66" s="87"/>
      <c r="U66" s="87"/>
      <c r="V66" s="88">
        <v>6890</v>
      </c>
      <c r="W66" s="39"/>
      <c r="X66" s="39"/>
      <c r="Y66" s="39"/>
    </row>
    <row r="67" spans="1:25" ht="12">
      <c r="A67" s="89" t="s">
        <v>72</v>
      </c>
      <c r="B67" s="39"/>
      <c r="C67" s="39"/>
      <c r="D67" s="39"/>
      <c r="E67" s="39"/>
      <c r="F67" s="87"/>
      <c r="G67" s="39"/>
      <c r="H67" s="39"/>
      <c r="I67" s="39">
        <v>180</v>
      </c>
      <c r="J67" s="39">
        <v>173</v>
      </c>
      <c r="K67" s="87">
        <v>49</v>
      </c>
      <c r="L67" s="39">
        <v>233</v>
      </c>
      <c r="M67" s="39">
        <v>176</v>
      </c>
      <c r="N67" s="39">
        <v>37</v>
      </c>
      <c r="O67" s="39">
        <v>117</v>
      </c>
      <c r="P67" s="87"/>
      <c r="Q67" s="87">
        <v>484</v>
      </c>
      <c r="R67" s="87"/>
      <c r="S67" s="87"/>
      <c r="T67" s="87"/>
      <c r="U67" s="87"/>
      <c r="V67" s="88">
        <v>1449</v>
      </c>
      <c r="W67" s="39"/>
      <c r="X67" s="39"/>
      <c r="Y67" s="39"/>
    </row>
    <row r="68" spans="1:25" ht="12">
      <c r="A68" s="89" t="s">
        <v>73</v>
      </c>
      <c r="B68" s="39"/>
      <c r="C68" s="39"/>
      <c r="D68" s="39"/>
      <c r="E68" s="39"/>
      <c r="F68" s="39"/>
      <c r="G68" s="39"/>
      <c r="H68" s="39"/>
      <c r="I68" s="39">
        <v>175</v>
      </c>
      <c r="J68" s="39"/>
      <c r="K68" s="39"/>
      <c r="L68" s="39"/>
      <c r="M68" s="39"/>
      <c r="N68" s="39"/>
      <c r="O68" s="39"/>
      <c r="P68" s="87"/>
      <c r="Q68" s="87"/>
      <c r="R68" s="87"/>
      <c r="S68" s="87"/>
      <c r="T68" s="87"/>
      <c r="U68" s="87"/>
      <c r="V68" s="88">
        <v>175</v>
      </c>
      <c r="W68" s="39"/>
      <c r="X68" s="39"/>
      <c r="Y68" s="39"/>
    </row>
    <row r="69" spans="1:25" ht="12">
      <c r="A69" s="90" t="s">
        <v>74</v>
      </c>
      <c r="B69" s="51">
        <v>4412</v>
      </c>
      <c r="C69" s="51">
        <v>3209</v>
      </c>
      <c r="D69" s="51">
        <v>3425</v>
      </c>
      <c r="E69" s="51">
        <v>379</v>
      </c>
      <c r="F69" s="51">
        <v>5849</v>
      </c>
      <c r="G69" s="51">
        <v>2872</v>
      </c>
      <c r="H69" s="51">
        <v>411</v>
      </c>
      <c r="I69" s="51">
        <v>1212</v>
      </c>
      <c r="J69" s="51">
        <v>2400</v>
      </c>
      <c r="K69" s="51">
        <v>175</v>
      </c>
      <c r="L69" s="51">
        <v>1443</v>
      </c>
      <c r="M69" s="51">
        <v>1276</v>
      </c>
      <c r="N69" s="51">
        <v>482</v>
      </c>
      <c r="O69" s="51">
        <v>651</v>
      </c>
      <c r="P69" s="51">
        <v>1019</v>
      </c>
      <c r="Q69" s="51">
        <v>1761</v>
      </c>
      <c r="R69" s="51">
        <v>979</v>
      </c>
      <c r="S69" s="51"/>
      <c r="T69" s="51"/>
      <c r="U69" s="51"/>
      <c r="V69" s="88">
        <v>31955</v>
      </c>
      <c r="W69" s="51">
        <v>31955</v>
      </c>
      <c r="X69" s="51"/>
      <c r="Y69" s="51"/>
    </row>
    <row r="70" spans="1:25" ht="12">
      <c r="A70" s="87" t="s">
        <v>75</v>
      </c>
      <c r="B70" s="39">
        <v>4113</v>
      </c>
      <c r="C70" s="39">
        <v>2009</v>
      </c>
      <c r="D70" s="39">
        <v>2242</v>
      </c>
      <c r="E70" s="39">
        <v>232</v>
      </c>
      <c r="F70" s="39">
        <v>4639</v>
      </c>
      <c r="G70" s="39">
        <v>1763</v>
      </c>
      <c r="H70" s="39">
        <v>237</v>
      </c>
      <c r="I70" s="39">
        <v>558</v>
      </c>
      <c r="J70" s="87">
        <v>1093</v>
      </c>
      <c r="K70" s="39">
        <v>67</v>
      </c>
      <c r="L70" s="39">
        <v>482</v>
      </c>
      <c r="M70" s="39">
        <v>616</v>
      </c>
      <c r="N70" s="39">
        <v>151</v>
      </c>
      <c r="O70" s="39">
        <v>313</v>
      </c>
      <c r="P70" s="87">
        <v>1</v>
      </c>
      <c r="Q70" s="87">
        <v>417</v>
      </c>
      <c r="R70" s="87">
        <v>86</v>
      </c>
      <c r="S70" s="87"/>
      <c r="T70" s="87"/>
      <c r="U70" s="87"/>
      <c r="V70" s="88">
        <v>19019</v>
      </c>
      <c r="W70" s="51">
        <v>19019</v>
      </c>
      <c r="X70" s="39"/>
      <c r="Y70" s="39"/>
    </row>
    <row r="71" spans="1:25" ht="12">
      <c r="A71" s="103" t="s">
        <v>76</v>
      </c>
      <c r="B71" s="103">
        <v>8525</v>
      </c>
      <c r="C71" s="103">
        <v>5218</v>
      </c>
      <c r="D71" s="103">
        <v>5667</v>
      </c>
      <c r="E71" s="103">
        <v>611</v>
      </c>
      <c r="F71" s="103">
        <v>10488</v>
      </c>
      <c r="G71" s="103">
        <v>4635</v>
      </c>
      <c r="H71" s="103">
        <v>648</v>
      </c>
      <c r="I71" s="103">
        <v>1770</v>
      </c>
      <c r="J71" s="103">
        <v>3493</v>
      </c>
      <c r="K71" s="103">
        <v>242</v>
      </c>
      <c r="L71" s="103">
        <v>1925</v>
      </c>
      <c r="M71" s="103">
        <v>1892</v>
      </c>
      <c r="N71" s="103">
        <v>633</v>
      </c>
      <c r="O71" s="103">
        <v>964</v>
      </c>
      <c r="P71" s="103">
        <v>1020</v>
      </c>
      <c r="Q71" s="103">
        <v>2178</v>
      </c>
      <c r="R71" s="103">
        <v>1065</v>
      </c>
      <c r="S71" s="103"/>
      <c r="T71" s="103"/>
      <c r="U71" s="103"/>
      <c r="V71" s="103">
        <v>50974</v>
      </c>
      <c r="W71" s="51">
        <v>50974</v>
      </c>
      <c r="X71" s="103"/>
      <c r="Y71" s="103"/>
    </row>
    <row r="72" spans="1:25" ht="12">
      <c r="A72" s="26"/>
      <c r="B72" s="39">
        <v>0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/>
      <c r="T72" s="39"/>
      <c r="U72" s="39"/>
      <c r="V72" s="39">
        <v>0</v>
      </c>
      <c r="W72" s="26"/>
      <c r="X72" s="26"/>
      <c r="Y72" s="26"/>
    </row>
    <row r="73" spans="1:25" ht="12">
      <c r="A73" s="26"/>
      <c r="B73" s="39">
        <v>0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/>
      <c r="T73" s="39"/>
      <c r="U73" s="39"/>
      <c r="V73" s="39">
        <v>0</v>
      </c>
      <c r="W73" s="26"/>
      <c r="X73" s="26"/>
      <c r="Y73" s="26"/>
    </row>
    <row r="74" spans="1:25" ht="12">
      <c r="A74" s="26"/>
      <c r="B74" s="39">
        <v>0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</row>
    <row r="75" spans="1:25" ht="12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</row>
    <row r="76" spans="1:25" ht="12">
      <c r="A76" s="26"/>
      <c r="B76" s="39">
        <v>0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</row>
    <row r="77" spans="1:25" ht="12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</row>
    <row r="78" spans="1:25" ht="12">
      <c r="A78" s="81"/>
      <c r="B78" s="82"/>
      <c r="C78" s="82"/>
      <c r="D78" s="81"/>
      <c r="E78" s="81"/>
      <c r="F78" s="83"/>
      <c r="G78" s="81"/>
      <c r="H78" s="81"/>
      <c r="I78" s="83"/>
      <c r="J78" s="83"/>
      <c r="K78" s="81"/>
      <c r="L78" s="81"/>
      <c r="M78" s="81"/>
      <c r="N78" s="81"/>
      <c r="O78" s="83"/>
      <c r="P78" s="83"/>
      <c r="Q78" s="83"/>
      <c r="R78" s="83"/>
      <c r="S78" s="83"/>
      <c r="T78" s="83"/>
      <c r="U78" s="83"/>
      <c r="V78" s="81"/>
      <c r="W78" s="21"/>
      <c r="X78" s="21"/>
      <c r="Y78" s="21"/>
    </row>
    <row r="79" spans="1:25" ht="12">
      <c r="A79" s="84"/>
      <c r="B79" s="84"/>
      <c r="C79" s="85"/>
      <c r="D79" s="85"/>
      <c r="E79" s="85"/>
      <c r="F79" s="86"/>
      <c r="G79" s="85"/>
      <c r="H79" s="85"/>
      <c r="I79" s="86"/>
      <c r="J79" s="86"/>
      <c r="K79" s="87"/>
      <c r="L79" s="85"/>
      <c r="M79" s="85"/>
      <c r="N79" s="85"/>
      <c r="O79" s="86"/>
      <c r="P79" s="87"/>
      <c r="Q79" s="87"/>
      <c r="R79" s="87"/>
      <c r="S79" s="87"/>
      <c r="T79" s="87"/>
      <c r="U79" s="87"/>
      <c r="V79" s="88"/>
      <c r="W79" s="2"/>
      <c r="X79" s="2"/>
      <c r="Y79" s="2"/>
    </row>
    <row r="80" spans="1:25" ht="12">
      <c r="A80" s="89"/>
      <c r="B80" s="89"/>
      <c r="C80" s="39"/>
      <c r="D80" s="39"/>
      <c r="E80" s="39"/>
      <c r="F80" s="39"/>
      <c r="G80" s="39"/>
      <c r="H80" s="39"/>
      <c r="I80" s="39"/>
      <c r="J80" s="39"/>
      <c r="K80" s="87"/>
      <c r="L80" s="39"/>
      <c r="M80" s="39"/>
      <c r="N80" s="39"/>
      <c r="O80" s="39"/>
      <c r="P80" s="87"/>
      <c r="Q80" s="87"/>
      <c r="R80" s="87"/>
      <c r="S80" s="87"/>
      <c r="T80" s="87"/>
      <c r="U80" s="87"/>
      <c r="V80" s="88"/>
      <c r="W80" s="39"/>
      <c r="X80" s="39"/>
      <c r="Y80" s="39"/>
    </row>
    <row r="81" spans="1:25" ht="12">
      <c r="A81" s="89"/>
      <c r="B81" s="89"/>
      <c r="C81" s="39"/>
      <c r="D81" s="39"/>
      <c r="E81" s="39"/>
      <c r="F81" s="39"/>
      <c r="G81" s="39"/>
      <c r="H81" s="39"/>
      <c r="I81" s="39"/>
      <c r="J81" s="39"/>
      <c r="K81" s="87"/>
      <c r="L81" s="39"/>
      <c r="M81" s="39"/>
      <c r="N81" s="39"/>
      <c r="O81" s="39"/>
      <c r="P81" s="87"/>
      <c r="Q81" s="87"/>
      <c r="R81" s="87"/>
      <c r="S81" s="87"/>
      <c r="T81" s="87"/>
      <c r="U81" s="87"/>
      <c r="V81" s="88"/>
      <c r="W81" s="39"/>
      <c r="X81" s="39"/>
      <c r="Y81" s="39"/>
    </row>
    <row r="82" spans="1:25" ht="12">
      <c r="A82" s="89"/>
      <c r="B82" s="89"/>
      <c r="C82" s="39"/>
      <c r="D82" s="39"/>
      <c r="E82" s="39"/>
      <c r="F82" s="39"/>
      <c r="G82" s="39"/>
      <c r="H82" s="39"/>
      <c r="I82" s="39"/>
      <c r="J82" s="39"/>
      <c r="K82" s="87"/>
      <c r="L82" s="39"/>
      <c r="M82" s="39"/>
      <c r="N82" s="39"/>
      <c r="O82" s="39"/>
      <c r="P82" s="87"/>
      <c r="Q82" s="87"/>
      <c r="R82" s="87"/>
      <c r="S82" s="87"/>
      <c r="T82" s="87"/>
      <c r="U82" s="87"/>
      <c r="V82" s="88"/>
      <c r="W82" s="39"/>
      <c r="X82" s="39"/>
      <c r="Y82" s="39"/>
    </row>
    <row r="83" spans="1:25" ht="12">
      <c r="A83" s="89"/>
      <c r="B83" s="89"/>
      <c r="C83" s="39"/>
      <c r="D83" s="39"/>
      <c r="E83" s="39"/>
      <c r="F83" s="39"/>
      <c r="G83" s="39"/>
      <c r="H83" s="39"/>
      <c r="I83" s="39"/>
      <c r="J83" s="39"/>
      <c r="K83" s="87"/>
      <c r="L83" s="39"/>
      <c r="M83" s="39"/>
      <c r="N83" s="39"/>
      <c r="O83" s="39"/>
      <c r="P83" s="87"/>
      <c r="Q83" s="87"/>
      <c r="R83" s="87"/>
      <c r="S83" s="87"/>
      <c r="T83" s="87"/>
      <c r="U83" s="87"/>
      <c r="V83" s="88"/>
      <c r="W83" s="39"/>
      <c r="X83" s="39"/>
      <c r="Y83" s="39"/>
    </row>
    <row r="84" spans="1:25" ht="12">
      <c r="A84" s="89"/>
      <c r="B84" s="8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87"/>
      <c r="Q84" s="87"/>
      <c r="R84" s="87"/>
      <c r="S84" s="87"/>
      <c r="T84" s="87"/>
      <c r="U84" s="87"/>
      <c r="V84" s="88"/>
      <c r="W84" s="39"/>
      <c r="X84" s="39"/>
      <c r="Y84" s="39"/>
    </row>
    <row r="85" spans="1:25" ht="12">
      <c r="A85" s="44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50"/>
      <c r="W85" s="51"/>
      <c r="X85" s="45"/>
      <c r="Y85" s="45"/>
    </row>
    <row r="86" spans="1:25" ht="12">
      <c r="A86" s="28"/>
      <c r="B86" s="104"/>
      <c r="C86" s="104"/>
      <c r="D86" s="104"/>
      <c r="E86" s="104"/>
      <c r="F86" s="104"/>
      <c r="G86" s="104"/>
      <c r="H86" s="104"/>
      <c r="I86" s="104"/>
      <c r="J86" s="41"/>
      <c r="K86" s="104"/>
      <c r="L86" s="104"/>
      <c r="M86" s="104"/>
      <c r="N86" s="104"/>
      <c r="O86" s="104"/>
      <c r="P86" s="30"/>
      <c r="Q86" s="30"/>
      <c r="R86" s="30"/>
      <c r="S86" s="30"/>
      <c r="T86" s="30"/>
      <c r="U86" s="30"/>
      <c r="V86" s="38"/>
      <c r="W86" s="39"/>
      <c r="X86" s="41"/>
      <c r="Y86" s="41"/>
    </row>
    <row r="87" spans="1:25" ht="12">
      <c r="A87" s="48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50"/>
      <c r="W87" s="94"/>
      <c r="X87" s="65"/>
      <c r="Y87" s="65"/>
    </row>
    <row r="88" spans="1:25" ht="12">
      <c r="A88" s="54"/>
      <c r="B88" s="55"/>
      <c r="C88" s="55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30"/>
      <c r="Q88" s="30"/>
      <c r="R88" s="30"/>
      <c r="S88" s="30"/>
      <c r="T88" s="30"/>
      <c r="U88" s="30"/>
      <c r="V88" s="54"/>
      <c r="W88" s="56"/>
      <c r="X88" s="57"/>
      <c r="Y88" s="57"/>
    </row>
    <row r="89" spans="1:25" ht="12">
      <c r="A89" s="35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0"/>
      <c r="W89" s="39"/>
      <c r="X89" s="41"/>
      <c r="Y89" s="41"/>
    </row>
    <row r="90" spans="1:25" ht="12">
      <c r="A90" s="40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0"/>
      <c r="W90" s="39"/>
      <c r="X90" s="41"/>
      <c r="Y90" s="41"/>
    </row>
    <row r="91" spans="1:25" ht="12">
      <c r="A91" s="40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0"/>
      <c r="W91" s="39"/>
      <c r="X91" s="41"/>
      <c r="Y91" s="41"/>
    </row>
    <row r="92" spans="1:25" ht="12">
      <c r="A92" s="40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0"/>
      <c r="W92" s="42"/>
      <c r="X92" s="59"/>
      <c r="Y92" s="59"/>
    </row>
    <row r="93" spans="1:25" ht="12">
      <c r="A93" s="40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0"/>
      <c r="W93" s="42"/>
      <c r="X93" s="59"/>
      <c r="Y93" s="59"/>
    </row>
    <row r="94" spans="1:25" ht="12">
      <c r="A94" s="40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0"/>
      <c r="W94" s="43"/>
      <c r="X94" s="61"/>
      <c r="Y94" s="61"/>
    </row>
    <row r="95" spans="1:25" ht="12">
      <c r="A95" s="44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50"/>
      <c r="W95" s="99"/>
      <c r="X95" s="63"/>
      <c r="Y95" s="63"/>
    </row>
    <row r="96" spans="1:25" ht="12">
      <c r="A96" s="2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58"/>
      <c r="Q96" s="58"/>
      <c r="R96" s="58"/>
      <c r="S96" s="58"/>
      <c r="T96" s="58"/>
      <c r="U96" s="58"/>
      <c r="V96" s="50"/>
      <c r="W96" s="100"/>
      <c r="X96" s="64"/>
      <c r="Y96" s="64"/>
    </row>
    <row r="97" spans="1:25" ht="12">
      <c r="A97" s="48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94"/>
      <c r="X97" s="65"/>
      <c r="Y97" s="65"/>
    </row>
    <row r="98" spans="1:25" ht="12">
      <c r="A98" s="66"/>
      <c r="B98" s="55"/>
      <c r="C98" s="55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30"/>
      <c r="Q98" s="30"/>
      <c r="R98" s="30"/>
      <c r="S98" s="30"/>
      <c r="T98" s="30"/>
      <c r="U98" s="30"/>
      <c r="V98" s="67"/>
      <c r="W98" s="56"/>
      <c r="X98" s="57"/>
      <c r="Y98" s="57"/>
    </row>
    <row r="99" spans="1:25" ht="12">
      <c r="A99" s="40"/>
      <c r="B99" s="41"/>
      <c r="C99" s="41"/>
      <c r="D99" s="41"/>
      <c r="E99" s="41"/>
      <c r="F99" s="41"/>
      <c r="G99" s="41"/>
      <c r="H99" s="41"/>
      <c r="I99" s="41"/>
      <c r="J99" s="41"/>
      <c r="K99" s="30"/>
      <c r="L99" s="41"/>
      <c r="M99" s="41"/>
      <c r="N99" s="41"/>
      <c r="O99" s="41"/>
      <c r="P99" s="30"/>
      <c r="Q99" s="30"/>
      <c r="R99" s="30"/>
      <c r="S99" s="30"/>
      <c r="T99" s="30"/>
      <c r="U99" s="30"/>
      <c r="V99" s="50"/>
      <c r="W99" s="39"/>
      <c r="X99" s="41"/>
      <c r="Y99" s="41"/>
    </row>
    <row r="100" spans="1:25" ht="12">
      <c r="A100" s="40"/>
      <c r="B100" s="41"/>
      <c r="C100" s="41"/>
      <c r="D100" s="41"/>
      <c r="E100" s="41"/>
      <c r="F100" s="41"/>
      <c r="G100" s="41"/>
      <c r="H100" s="41"/>
      <c r="I100" s="41"/>
      <c r="J100" s="41"/>
      <c r="K100" s="30"/>
      <c r="L100" s="41"/>
      <c r="M100" s="41"/>
      <c r="N100" s="41"/>
      <c r="O100" s="41"/>
      <c r="P100" s="30"/>
      <c r="Q100" s="30"/>
      <c r="R100" s="30"/>
      <c r="S100" s="30"/>
      <c r="T100" s="30"/>
      <c r="U100" s="30"/>
      <c r="V100" s="50"/>
      <c r="W100" s="39"/>
      <c r="X100" s="41"/>
      <c r="Y100" s="41"/>
    </row>
    <row r="101" spans="1:25" ht="12">
      <c r="A101" s="40"/>
      <c r="B101" s="41"/>
      <c r="C101" s="41"/>
      <c r="D101" s="41"/>
      <c r="E101" s="41"/>
      <c r="F101" s="41"/>
      <c r="G101" s="41"/>
      <c r="H101" s="41"/>
      <c r="I101" s="41"/>
      <c r="J101" s="41"/>
      <c r="K101" s="30"/>
      <c r="L101" s="41"/>
      <c r="M101" s="41"/>
      <c r="N101" s="41"/>
      <c r="O101" s="41"/>
      <c r="P101" s="30"/>
      <c r="Q101" s="30"/>
      <c r="R101" s="30"/>
      <c r="S101" s="30"/>
      <c r="T101" s="30"/>
      <c r="U101" s="30"/>
      <c r="V101" s="50"/>
      <c r="W101" s="39"/>
      <c r="X101" s="41"/>
      <c r="Y101" s="41"/>
    </row>
    <row r="102" spans="1:25" ht="12">
      <c r="A102" s="40"/>
      <c r="B102" s="41"/>
      <c r="C102" s="41"/>
      <c r="D102" s="41"/>
      <c r="E102" s="41"/>
      <c r="F102" s="41"/>
      <c r="G102" s="41"/>
      <c r="H102" s="41"/>
      <c r="I102" s="41"/>
      <c r="J102" s="41"/>
      <c r="K102" s="30"/>
      <c r="L102" s="41"/>
      <c r="M102" s="41"/>
      <c r="N102" s="41"/>
      <c r="O102" s="41"/>
      <c r="P102" s="30"/>
      <c r="Q102" s="30"/>
      <c r="R102" s="30"/>
      <c r="S102" s="30"/>
      <c r="T102" s="30"/>
      <c r="U102" s="30"/>
      <c r="V102" s="50"/>
      <c r="W102" s="39"/>
      <c r="X102" s="41"/>
      <c r="Y102" s="41"/>
    </row>
    <row r="103" spans="1:25" ht="12">
      <c r="A103" s="40"/>
      <c r="B103" s="41"/>
      <c r="C103" s="41"/>
      <c r="D103" s="41"/>
      <c r="E103" s="41"/>
      <c r="F103" s="30"/>
      <c r="G103" s="41"/>
      <c r="H103" s="41"/>
      <c r="I103" s="41"/>
      <c r="J103" s="41"/>
      <c r="K103" s="30"/>
      <c r="L103" s="41"/>
      <c r="M103" s="41"/>
      <c r="N103" s="41"/>
      <c r="O103" s="41"/>
      <c r="P103" s="30"/>
      <c r="Q103" s="30"/>
      <c r="R103" s="30"/>
      <c r="S103" s="30"/>
      <c r="T103" s="30"/>
      <c r="U103" s="30"/>
      <c r="V103" s="50"/>
      <c r="W103" s="39"/>
      <c r="X103" s="41"/>
      <c r="Y103" s="41"/>
    </row>
    <row r="104" spans="1:25" ht="12">
      <c r="A104" s="40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30"/>
      <c r="Q104" s="30"/>
      <c r="R104" s="30"/>
      <c r="S104" s="30"/>
      <c r="T104" s="30"/>
      <c r="U104" s="30"/>
      <c r="V104" s="50"/>
      <c r="W104" s="39"/>
      <c r="X104" s="41"/>
      <c r="Y104" s="41"/>
    </row>
    <row r="105" spans="1:25" ht="12">
      <c r="A105" s="44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50"/>
      <c r="W105" s="51"/>
      <c r="X105" s="45"/>
      <c r="Y105" s="45"/>
    </row>
    <row r="106" spans="1:25" ht="12">
      <c r="A106" s="28"/>
      <c r="B106" s="41"/>
      <c r="C106" s="41"/>
      <c r="D106" s="41"/>
      <c r="E106" s="41"/>
      <c r="F106" s="41"/>
      <c r="G106" s="41"/>
      <c r="H106" s="41"/>
      <c r="I106" s="41"/>
      <c r="J106" s="30"/>
      <c r="K106" s="41"/>
      <c r="L106" s="41"/>
      <c r="M106" s="41"/>
      <c r="N106" s="41"/>
      <c r="O106" s="41"/>
      <c r="P106" s="30"/>
      <c r="Q106" s="30"/>
      <c r="R106" s="30"/>
      <c r="S106" s="30"/>
      <c r="T106" s="30"/>
      <c r="U106" s="30"/>
      <c r="V106" s="50"/>
      <c r="W106" s="39"/>
      <c r="X106" s="41"/>
      <c r="Y106" s="41"/>
    </row>
    <row r="107" spans="1:25" ht="12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103"/>
      <c r="X107" s="71"/>
      <c r="Y107" s="71"/>
    </row>
    <row r="108" spans="1:25" ht="12">
      <c r="A108" s="106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8"/>
      <c r="W108" s="51"/>
      <c r="X108" s="45"/>
      <c r="Y108" s="45"/>
    </row>
  </sheetData>
  <sheetProtection/>
  <mergeCells count="2">
    <mergeCell ref="A8:V8"/>
    <mergeCell ref="A1:O1"/>
  </mergeCells>
  <printOptions/>
  <pageMargins left="0.5511811023622047" right="0.2362204724409449" top="0.5511811023622047" bottom="0.1968503937007874" header="0.5118110236220472" footer="0.2362204724409449"/>
  <pageSetup fitToHeight="1" fitToWidth="1" orientation="portrait" paperSize="9" scale="71" r:id="rId1"/>
  <headerFooter alignWithMargins="0">
    <oddHeader>&amp;R&amp;F</oddHeader>
    <oddFooter>&amp;LComune di Bologna - Dipartimento Programmazione - Settore Statistica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showZeros="0" zoomScale="90" zoomScaleNormal="90" zoomScalePageLayoutView="0" workbookViewId="0" topLeftCell="A1">
      <pane ySplit="7" topLeftCell="A50" activePane="bottomLeft" state="frozen"/>
      <selection pane="topLeft" activeCell="A1" sqref="A1:IV16384"/>
      <selection pane="bottomLeft" activeCell="S16" sqref="S16"/>
    </sheetView>
  </sheetViews>
  <sheetFormatPr defaultColWidth="10.875" defaultRowHeight="12"/>
  <cols>
    <col min="1" max="1" width="56.625" style="138" customWidth="1"/>
    <col min="2" max="3" width="11.25390625" style="138" customWidth="1"/>
    <col min="4" max="4" width="12.00390625" style="138" customWidth="1"/>
    <col min="5" max="5" width="13.00390625" style="138" customWidth="1"/>
    <col min="6" max="7" width="11.25390625" style="138" customWidth="1"/>
    <col min="8" max="8" width="12.875" style="138" customWidth="1"/>
    <col min="9" max="12" width="11.25390625" style="138" customWidth="1"/>
    <col min="13" max="13" width="8.00390625" style="138" customWidth="1"/>
    <col min="14" max="16384" width="10.875" style="138" customWidth="1"/>
  </cols>
  <sheetData>
    <row r="1" spans="1:13" s="120" customFormat="1" ht="15" customHeight="1">
      <c r="A1" s="227" t="s">
        <v>134</v>
      </c>
      <c r="B1" s="209"/>
      <c r="C1" s="209"/>
      <c r="D1" s="209"/>
      <c r="E1" s="209"/>
      <c r="F1" s="209"/>
      <c r="G1" s="209"/>
      <c r="H1" s="227"/>
      <c r="I1" s="209"/>
      <c r="J1" s="209"/>
      <c r="K1" s="209"/>
      <c r="L1" s="209"/>
      <c r="M1" s="228"/>
    </row>
    <row r="2" spans="1:13" s="131" customFormat="1" ht="15">
      <c r="A2" s="229" t="s">
        <v>155</v>
      </c>
      <c r="B2" s="211"/>
      <c r="C2" s="211"/>
      <c r="D2" s="230"/>
      <c r="E2" s="211"/>
      <c r="F2" s="231"/>
      <c r="G2" s="230"/>
      <c r="H2" s="232"/>
      <c r="I2" s="211"/>
      <c r="J2" s="233"/>
      <c r="K2" s="234" t="s">
        <v>132</v>
      </c>
      <c r="L2" s="211"/>
      <c r="M2" s="236"/>
    </row>
    <row r="3" spans="1:13" s="135" customFormat="1" ht="12">
      <c r="A3" s="237"/>
      <c r="B3" s="268" t="s">
        <v>136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38" t="s">
        <v>103</v>
      </c>
    </row>
    <row r="4" spans="1:12" ht="48">
      <c r="A4" s="237"/>
      <c r="B4" s="265" t="s">
        <v>137</v>
      </c>
      <c r="C4" s="265" t="s">
        <v>138</v>
      </c>
      <c r="D4" s="265" t="s">
        <v>139</v>
      </c>
      <c r="E4" s="265" t="s">
        <v>140</v>
      </c>
      <c r="F4" s="265" t="s">
        <v>141</v>
      </c>
      <c r="G4" s="265" t="s">
        <v>142</v>
      </c>
      <c r="H4" s="265" t="s">
        <v>143</v>
      </c>
      <c r="I4" s="265" t="s">
        <v>144</v>
      </c>
      <c r="J4" s="265" t="s">
        <v>145</v>
      </c>
      <c r="K4" s="265" t="s">
        <v>6</v>
      </c>
      <c r="L4" s="265" t="s">
        <v>146</v>
      </c>
    </row>
    <row r="5" spans="1:13" ht="12">
      <c r="A5" s="237"/>
      <c r="B5" s="239"/>
      <c r="C5" s="212"/>
      <c r="D5" s="212"/>
      <c r="E5" s="212"/>
      <c r="F5" s="212"/>
      <c r="G5" s="212"/>
      <c r="H5" s="212"/>
      <c r="I5" s="239"/>
      <c r="J5" s="212"/>
      <c r="K5" s="212"/>
      <c r="L5" s="212"/>
      <c r="M5" s="239"/>
    </row>
    <row r="6" spans="1:13" ht="12">
      <c r="A6" s="225"/>
      <c r="B6" s="225"/>
      <c r="C6" s="212"/>
      <c r="D6" s="212"/>
      <c r="E6" s="212"/>
      <c r="F6" s="239"/>
      <c r="G6" s="225"/>
      <c r="H6" s="212"/>
      <c r="I6" s="225"/>
      <c r="J6" s="212"/>
      <c r="K6" s="212"/>
      <c r="L6" s="212"/>
      <c r="M6" s="239"/>
    </row>
    <row r="7" spans="1:13" s="131" customFormat="1" ht="12">
      <c r="A7" s="241"/>
      <c r="B7" s="242"/>
      <c r="C7" s="213"/>
      <c r="D7" s="242"/>
      <c r="E7" s="213"/>
      <c r="F7" s="242"/>
      <c r="G7" s="242"/>
      <c r="H7" s="241"/>
      <c r="I7" s="242"/>
      <c r="J7" s="213"/>
      <c r="K7" s="213"/>
      <c r="L7" s="213"/>
      <c r="M7" s="242"/>
    </row>
    <row r="8" spans="1:13" s="135" customFormat="1" ht="12">
      <c r="A8" s="267"/>
      <c r="B8" s="269" t="s">
        <v>54</v>
      </c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</row>
    <row r="9" spans="1:13" s="250" customFormat="1" ht="12">
      <c r="A9" s="244" t="s">
        <v>104</v>
      </c>
      <c r="B9" s="215"/>
      <c r="C9" s="215"/>
      <c r="D9" s="169"/>
      <c r="E9" s="169"/>
      <c r="F9" s="169"/>
      <c r="G9" s="169"/>
      <c r="H9" s="215"/>
      <c r="I9" s="169"/>
      <c r="J9" s="169"/>
      <c r="K9" s="215"/>
      <c r="L9" s="169"/>
      <c r="M9" s="172"/>
    </row>
    <row r="10" spans="1:13" ht="13.5" customHeight="1">
      <c r="A10" s="245" t="s">
        <v>105</v>
      </c>
      <c r="B10" s="215">
        <f aca="true" t="shared" si="0" ref="B10:L12">+B31+B52</f>
        <v>0</v>
      </c>
      <c r="C10" s="215">
        <f t="shared" si="0"/>
        <v>0</v>
      </c>
      <c r="D10" s="215">
        <f t="shared" si="0"/>
        <v>2</v>
      </c>
      <c r="E10" s="215">
        <f t="shared" si="0"/>
        <v>0</v>
      </c>
      <c r="F10" s="215">
        <f t="shared" si="0"/>
        <v>0</v>
      </c>
      <c r="G10" s="215">
        <f t="shared" si="0"/>
        <v>0</v>
      </c>
      <c r="H10" s="215">
        <f t="shared" si="0"/>
        <v>0</v>
      </c>
      <c r="I10" s="215">
        <f t="shared" si="0"/>
        <v>0</v>
      </c>
      <c r="J10" s="215">
        <f t="shared" si="0"/>
        <v>0</v>
      </c>
      <c r="K10" s="215">
        <f t="shared" si="0"/>
        <v>0</v>
      </c>
      <c r="L10" s="215">
        <f t="shared" si="0"/>
        <v>0</v>
      </c>
      <c r="M10" s="172">
        <f>SUM(B10:L10)</f>
        <v>2</v>
      </c>
    </row>
    <row r="11" spans="1:13" ht="12">
      <c r="A11" s="245" t="s">
        <v>115</v>
      </c>
      <c r="B11" s="215">
        <f t="shared" si="0"/>
        <v>26</v>
      </c>
      <c r="C11" s="215">
        <f t="shared" si="0"/>
        <v>51</v>
      </c>
      <c r="D11" s="215">
        <f t="shared" si="0"/>
        <v>26</v>
      </c>
      <c r="E11" s="215">
        <f t="shared" si="0"/>
        <v>211</v>
      </c>
      <c r="F11" s="215">
        <f t="shared" si="0"/>
        <v>118</v>
      </c>
      <c r="G11" s="215">
        <f t="shared" si="0"/>
        <v>205</v>
      </c>
      <c r="H11" s="215">
        <f t="shared" si="0"/>
        <v>37</v>
      </c>
      <c r="I11" s="215">
        <f t="shared" si="0"/>
        <v>50</v>
      </c>
      <c r="J11" s="215">
        <f t="shared" si="0"/>
        <v>143</v>
      </c>
      <c r="K11" s="215">
        <f t="shared" si="0"/>
        <v>38</v>
      </c>
      <c r="L11" s="215">
        <f t="shared" si="0"/>
        <v>71</v>
      </c>
      <c r="M11" s="172">
        <f>SUM(B11:L11)</f>
        <v>976</v>
      </c>
    </row>
    <row r="12" spans="1:13" ht="12">
      <c r="A12" s="245" t="s">
        <v>107</v>
      </c>
      <c r="B12" s="215">
        <f t="shared" si="0"/>
        <v>26</v>
      </c>
      <c r="C12" s="215">
        <f t="shared" si="0"/>
        <v>51</v>
      </c>
      <c r="D12" s="215">
        <f t="shared" si="0"/>
        <v>28</v>
      </c>
      <c r="E12" s="215">
        <f t="shared" si="0"/>
        <v>211</v>
      </c>
      <c r="F12" s="215">
        <f t="shared" si="0"/>
        <v>118</v>
      </c>
      <c r="G12" s="215">
        <f t="shared" si="0"/>
        <v>205</v>
      </c>
      <c r="H12" s="215">
        <f t="shared" si="0"/>
        <v>37</v>
      </c>
      <c r="I12" s="215">
        <f t="shared" si="0"/>
        <v>50</v>
      </c>
      <c r="J12" s="215">
        <f t="shared" si="0"/>
        <v>143</v>
      </c>
      <c r="K12" s="215">
        <f t="shared" si="0"/>
        <v>38</v>
      </c>
      <c r="L12" s="215">
        <f t="shared" si="0"/>
        <v>71</v>
      </c>
      <c r="M12" s="217">
        <f>+M10+M11</f>
        <v>978</v>
      </c>
    </row>
    <row r="13" spans="1:13" ht="12">
      <c r="A13" s="244" t="s">
        <v>151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72"/>
    </row>
    <row r="14" spans="1:13" ht="12">
      <c r="A14" s="245" t="s">
        <v>105</v>
      </c>
      <c r="B14" s="215">
        <f aca="true" t="shared" si="1" ref="B14:L16">+B35+B56</f>
        <v>1530</v>
      </c>
      <c r="C14" s="215">
        <f t="shared" si="1"/>
        <v>5364</v>
      </c>
      <c r="D14" s="215">
        <f t="shared" si="1"/>
        <v>1426</v>
      </c>
      <c r="E14" s="215">
        <f t="shared" si="1"/>
        <v>992</v>
      </c>
      <c r="F14" s="215">
        <f t="shared" si="1"/>
        <v>6590</v>
      </c>
      <c r="G14" s="215">
        <f t="shared" si="1"/>
        <v>8986</v>
      </c>
      <c r="H14" s="215">
        <f t="shared" si="1"/>
        <v>2056</v>
      </c>
      <c r="I14" s="215">
        <f t="shared" si="1"/>
        <v>2245</v>
      </c>
      <c r="J14" s="215">
        <f t="shared" si="1"/>
        <v>2588</v>
      </c>
      <c r="K14" s="215">
        <f t="shared" si="1"/>
        <v>3517</v>
      </c>
      <c r="L14" s="215">
        <f t="shared" si="1"/>
        <v>3489</v>
      </c>
      <c r="M14" s="172">
        <f>SUM(B14:L14)</f>
        <v>38783</v>
      </c>
    </row>
    <row r="15" spans="1:13" ht="12">
      <c r="A15" s="245" t="s">
        <v>115</v>
      </c>
      <c r="B15" s="215">
        <f t="shared" si="1"/>
        <v>488</v>
      </c>
      <c r="C15" s="215">
        <f t="shared" si="1"/>
        <v>934</v>
      </c>
      <c r="D15" s="215">
        <f t="shared" si="1"/>
        <v>185</v>
      </c>
      <c r="E15" s="215">
        <f t="shared" si="1"/>
        <v>333</v>
      </c>
      <c r="F15" s="215">
        <f t="shared" si="1"/>
        <v>1953</v>
      </c>
      <c r="G15" s="215">
        <f t="shared" si="1"/>
        <v>2253</v>
      </c>
      <c r="H15" s="215">
        <f t="shared" si="1"/>
        <v>449</v>
      </c>
      <c r="I15" s="215">
        <f t="shared" si="1"/>
        <v>256</v>
      </c>
      <c r="J15" s="215">
        <f t="shared" si="1"/>
        <v>519</v>
      </c>
      <c r="K15" s="215">
        <f t="shared" si="1"/>
        <v>823</v>
      </c>
      <c r="L15" s="215">
        <f t="shared" si="1"/>
        <v>593</v>
      </c>
      <c r="M15" s="172">
        <f>SUM(B15:L15)</f>
        <v>8786</v>
      </c>
    </row>
    <row r="16" spans="1:13" ht="12">
      <c r="A16" s="245" t="s">
        <v>107</v>
      </c>
      <c r="B16" s="215">
        <f t="shared" si="1"/>
        <v>2018</v>
      </c>
      <c r="C16" s="215">
        <f t="shared" si="1"/>
        <v>6298</v>
      </c>
      <c r="D16" s="215">
        <f t="shared" si="1"/>
        <v>1611</v>
      </c>
      <c r="E16" s="215">
        <f t="shared" si="1"/>
        <v>1325</v>
      </c>
      <c r="F16" s="215">
        <f t="shared" si="1"/>
        <v>8543</v>
      </c>
      <c r="G16" s="215">
        <f t="shared" si="1"/>
        <v>11239</v>
      </c>
      <c r="H16" s="215">
        <f t="shared" si="1"/>
        <v>2505</v>
      </c>
      <c r="I16" s="215">
        <f t="shared" si="1"/>
        <v>2501</v>
      </c>
      <c r="J16" s="215">
        <f t="shared" si="1"/>
        <v>3107</v>
      </c>
      <c r="K16" s="215">
        <f t="shared" si="1"/>
        <v>4340</v>
      </c>
      <c r="L16" s="215">
        <f t="shared" si="1"/>
        <v>4082</v>
      </c>
      <c r="M16" s="217">
        <f>+M14+M15</f>
        <v>47569</v>
      </c>
    </row>
    <row r="17" spans="1:13" ht="12">
      <c r="A17" s="244" t="s">
        <v>152</v>
      </c>
      <c r="B17" s="169"/>
      <c r="C17" s="215"/>
      <c r="D17" s="215"/>
      <c r="E17" s="215"/>
      <c r="F17" s="169"/>
      <c r="G17" s="169"/>
      <c r="H17" s="169"/>
      <c r="I17" s="169"/>
      <c r="J17" s="172"/>
      <c r="K17" s="215"/>
      <c r="L17" s="172"/>
      <c r="M17" s="172"/>
    </row>
    <row r="18" spans="1:13" ht="12">
      <c r="A18" s="245" t="s">
        <v>105</v>
      </c>
      <c r="B18" s="215">
        <f aca="true" t="shared" si="2" ref="B18:L20">+B39+B60</f>
        <v>741</v>
      </c>
      <c r="C18" s="215">
        <f t="shared" si="2"/>
        <v>2642</v>
      </c>
      <c r="D18" s="215">
        <f t="shared" si="2"/>
        <v>813</v>
      </c>
      <c r="E18" s="215">
        <f t="shared" si="2"/>
        <v>24</v>
      </c>
      <c r="F18" s="215">
        <f t="shared" si="2"/>
        <v>3396</v>
      </c>
      <c r="G18" s="215">
        <f t="shared" si="2"/>
        <v>3879</v>
      </c>
      <c r="H18" s="215">
        <f t="shared" si="2"/>
        <v>1065</v>
      </c>
      <c r="I18" s="215">
        <f t="shared" si="2"/>
        <v>144</v>
      </c>
      <c r="J18" s="215">
        <f t="shared" si="2"/>
        <v>1188</v>
      </c>
      <c r="K18" s="215">
        <f t="shared" si="2"/>
        <v>1600</v>
      </c>
      <c r="L18" s="215">
        <f t="shared" si="2"/>
        <v>1665</v>
      </c>
      <c r="M18" s="172">
        <f>SUM(B18:L18)</f>
        <v>17157</v>
      </c>
    </row>
    <row r="19" spans="1:13" ht="12">
      <c r="A19" s="245" t="s">
        <v>115</v>
      </c>
      <c r="B19" s="215">
        <f t="shared" si="2"/>
        <v>204</v>
      </c>
      <c r="C19" s="215">
        <f t="shared" si="2"/>
        <v>364</v>
      </c>
      <c r="D19" s="215">
        <f t="shared" si="2"/>
        <v>80</v>
      </c>
      <c r="E19" s="215">
        <f t="shared" si="2"/>
        <v>3</v>
      </c>
      <c r="F19" s="215">
        <f t="shared" si="2"/>
        <v>880</v>
      </c>
      <c r="G19" s="215">
        <f t="shared" si="2"/>
        <v>1272</v>
      </c>
      <c r="H19" s="215">
        <f t="shared" si="2"/>
        <v>263</v>
      </c>
      <c r="I19" s="215">
        <f t="shared" si="2"/>
        <v>9</v>
      </c>
      <c r="J19" s="215">
        <f t="shared" si="2"/>
        <v>342</v>
      </c>
      <c r="K19" s="215">
        <f t="shared" si="2"/>
        <v>282</v>
      </c>
      <c r="L19" s="215">
        <f t="shared" si="2"/>
        <v>317</v>
      </c>
      <c r="M19" s="172">
        <f>SUM(B19:L19)</f>
        <v>4016</v>
      </c>
    </row>
    <row r="20" spans="1:13" ht="12">
      <c r="A20" s="245" t="s">
        <v>107</v>
      </c>
      <c r="B20" s="215">
        <f t="shared" si="2"/>
        <v>945</v>
      </c>
      <c r="C20" s="215">
        <f t="shared" si="2"/>
        <v>3006</v>
      </c>
      <c r="D20" s="215">
        <f t="shared" si="2"/>
        <v>893</v>
      </c>
      <c r="E20" s="215">
        <f t="shared" si="2"/>
        <v>27</v>
      </c>
      <c r="F20" s="215">
        <f t="shared" si="2"/>
        <v>4276</v>
      </c>
      <c r="G20" s="215">
        <f t="shared" si="2"/>
        <v>5151</v>
      </c>
      <c r="H20" s="215">
        <f t="shared" si="2"/>
        <v>1328</v>
      </c>
      <c r="I20" s="215">
        <f t="shared" si="2"/>
        <v>153</v>
      </c>
      <c r="J20" s="215">
        <f t="shared" si="2"/>
        <v>1530</v>
      </c>
      <c r="K20" s="215">
        <f t="shared" si="2"/>
        <v>1882</v>
      </c>
      <c r="L20" s="215">
        <f t="shared" si="2"/>
        <v>1982</v>
      </c>
      <c r="M20" s="217">
        <f>+M18+M19</f>
        <v>21173</v>
      </c>
    </row>
    <row r="21" spans="1:13" ht="12">
      <c r="A21" s="244" t="s">
        <v>153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72"/>
    </row>
    <row r="22" spans="1:13" ht="12">
      <c r="A22" s="245" t="s">
        <v>105</v>
      </c>
      <c r="B22" s="215">
        <f aca="true" t="shared" si="3" ref="B22:M23">B43+B64</f>
        <v>382</v>
      </c>
      <c r="C22" s="215">
        <f t="shared" si="3"/>
        <v>0</v>
      </c>
      <c r="D22" s="215">
        <f t="shared" si="3"/>
        <v>1434</v>
      </c>
      <c r="E22" s="215">
        <f t="shared" si="3"/>
        <v>4796</v>
      </c>
      <c r="F22" s="215">
        <f t="shared" si="3"/>
        <v>782</v>
      </c>
      <c r="G22" s="215">
        <f t="shared" si="3"/>
        <v>47</v>
      </c>
      <c r="H22" s="215">
        <f t="shared" si="3"/>
        <v>0</v>
      </c>
      <c r="I22" s="215">
        <f t="shared" si="3"/>
        <v>2720</v>
      </c>
      <c r="J22" s="215">
        <f t="shared" si="3"/>
        <v>1275</v>
      </c>
      <c r="K22" s="215">
        <f t="shared" si="3"/>
        <v>0</v>
      </c>
      <c r="L22" s="215">
        <f t="shared" si="3"/>
        <v>0</v>
      </c>
      <c r="M22" s="215">
        <f t="shared" si="3"/>
        <v>11436</v>
      </c>
    </row>
    <row r="23" spans="1:13" ht="12">
      <c r="A23" s="245" t="s">
        <v>115</v>
      </c>
      <c r="B23" s="215">
        <f t="shared" si="3"/>
        <v>133</v>
      </c>
      <c r="C23" s="215">
        <f t="shared" si="3"/>
        <v>0</v>
      </c>
      <c r="D23" s="215">
        <f t="shared" si="3"/>
        <v>326</v>
      </c>
      <c r="E23" s="215">
        <f t="shared" si="3"/>
        <v>1433</v>
      </c>
      <c r="F23" s="215">
        <f t="shared" si="3"/>
        <v>299</v>
      </c>
      <c r="G23" s="215">
        <f t="shared" si="3"/>
        <v>1</v>
      </c>
      <c r="H23" s="215">
        <f t="shared" si="3"/>
        <v>0</v>
      </c>
      <c r="I23" s="215">
        <f t="shared" si="3"/>
        <v>545</v>
      </c>
      <c r="J23" s="215">
        <f t="shared" si="3"/>
        <v>276</v>
      </c>
      <c r="K23" s="215">
        <f t="shared" si="3"/>
        <v>0</v>
      </c>
      <c r="L23" s="215">
        <f t="shared" si="3"/>
        <v>0</v>
      </c>
      <c r="M23" s="215">
        <f t="shared" si="3"/>
        <v>3013</v>
      </c>
    </row>
    <row r="24" spans="1:13" ht="12">
      <c r="A24" s="245" t="s">
        <v>107</v>
      </c>
      <c r="B24" s="215">
        <f>B22+B23</f>
        <v>515</v>
      </c>
      <c r="C24" s="215">
        <f aca="true" t="shared" si="4" ref="C24:L24">C22+C23</f>
        <v>0</v>
      </c>
      <c r="D24" s="215">
        <f t="shared" si="4"/>
        <v>1760</v>
      </c>
      <c r="E24" s="215">
        <f t="shared" si="4"/>
        <v>6229</v>
      </c>
      <c r="F24" s="215">
        <f t="shared" si="4"/>
        <v>1081</v>
      </c>
      <c r="G24" s="215">
        <f t="shared" si="4"/>
        <v>48</v>
      </c>
      <c r="H24" s="215">
        <f t="shared" si="4"/>
        <v>0</v>
      </c>
      <c r="I24" s="215">
        <f t="shared" si="4"/>
        <v>3265</v>
      </c>
      <c r="J24" s="215">
        <f t="shared" si="4"/>
        <v>1551</v>
      </c>
      <c r="K24" s="215">
        <f t="shared" si="4"/>
        <v>0</v>
      </c>
      <c r="L24" s="215">
        <f t="shared" si="4"/>
        <v>0</v>
      </c>
      <c r="M24" s="217">
        <f>+M22+M23</f>
        <v>14449</v>
      </c>
    </row>
    <row r="25" spans="1:13" s="135" customFormat="1" ht="12">
      <c r="A25" s="244" t="s">
        <v>112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51"/>
    </row>
    <row r="26" spans="1:13" s="120" customFormat="1" ht="12">
      <c r="A26" s="245" t="s">
        <v>105</v>
      </c>
      <c r="B26" s="223">
        <f>+B22+B18+B14+B10</f>
        <v>2653</v>
      </c>
      <c r="C26" s="223">
        <f aca="true" t="shared" si="5" ref="C26:M27">+C22+C18+C14+C10</f>
        <v>8006</v>
      </c>
      <c r="D26" s="223">
        <f t="shared" si="5"/>
        <v>3675</v>
      </c>
      <c r="E26" s="223">
        <f t="shared" si="5"/>
        <v>5812</v>
      </c>
      <c r="F26" s="223">
        <f t="shared" si="5"/>
        <v>10768</v>
      </c>
      <c r="G26" s="223">
        <f t="shared" si="5"/>
        <v>12912</v>
      </c>
      <c r="H26" s="223">
        <f t="shared" si="5"/>
        <v>3121</v>
      </c>
      <c r="I26" s="223">
        <f t="shared" si="5"/>
        <v>5109</v>
      </c>
      <c r="J26" s="223">
        <f t="shared" si="5"/>
        <v>5051</v>
      </c>
      <c r="K26" s="223">
        <f t="shared" si="5"/>
        <v>5117</v>
      </c>
      <c r="L26" s="223">
        <f t="shared" si="5"/>
        <v>5154</v>
      </c>
      <c r="M26" s="223">
        <f t="shared" si="5"/>
        <v>67378</v>
      </c>
    </row>
    <row r="27" spans="1:13" ht="12">
      <c r="A27" s="245" t="s">
        <v>115</v>
      </c>
      <c r="B27" s="223">
        <f>+B23+B19+B15+B11</f>
        <v>851</v>
      </c>
      <c r="C27" s="223">
        <f t="shared" si="5"/>
        <v>1349</v>
      </c>
      <c r="D27" s="223">
        <f t="shared" si="5"/>
        <v>617</v>
      </c>
      <c r="E27" s="223">
        <f t="shared" si="5"/>
        <v>1980</v>
      </c>
      <c r="F27" s="223">
        <f t="shared" si="5"/>
        <v>3250</v>
      </c>
      <c r="G27" s="223">
        <f t="shared" si="5"/>
        <v>3731</v>
      </c>
      <c r="H27" s="223">
        <f t="shared" si="5"/>
        <v>749</v>
      </c>
      <c r="I27" s="223">
        <f t="shared" si="5"/>
        <v>860</v>
      </c>
      <c r="J27" s="223">
        <f t="shared" si="5"/>
        <v>1280</v>
      </c>
      <c r="K27" s="223">
        <f t="shared" si="5"/>
        <v>1143</v>
      </c>
      <c r="L27" s="223">
        <f t="shared" si="5"/>
        <v>981</v>
      </c>
      <c r="M27" s="223">
        <f t="shared" si="5"/>
        <v>16791</v>
      </c>
    </row>
    <row r="28" spans="1:13" ht="12">
      <c r="A28" s="245" t="s">
        <v>107</v>
      </c>
      <c r="B28" s="217">
        <f aca="true" t="shared" si="6" ref="B28:L28">+B26+B27</f>
        <v>3504</v>
      </c>
      <c r="C28" s="217">
        <f t="shared" si="6"/>
        <v>9355</v>
      </c>
      <c r="D28" s="217">
        <f t="shared" si="6"/>
        <v>4292</v>
      </c>
      <c r="E28" s="217">
        <f t="shared" si="6"/>
        <v>7792</v>
      </c>
      <c r="F28" s="217">
        <f t="shared" si="6"/>
        <v>14018</v>
      </c>
      <c r="G28" s="217">
        <f t="shared" si="6"/>
        <v>16643</v>
      </c>
      <c r="H28" s="217">
        <f t="shared" si="6"/>
        <v>3870</v>
      </c>
      <c r="I28" s="217">
        <f t="shared" si="6"/>
        <v>5969</v>
      </c>
      <c r="J28" s="217">
        <f t="shared" si="6"/>
        <v>6331</v>
      </c>
      <c r="K28" s="217">
        <f t="shared" si="6"/>
        <v>6260</v>
      </c>
      <c r="L28" s="217">
        <f t="shared" si="6"/>
        <v>6135</v>
      </c>
      <c r="M28" s="217">
        <f>+M26+M27</f>
        <v>84169</v>
      </c>
    </row>
    <row r="29" spans="1:13" ht="12">
      <c r="A29" s="267"/>
      <c r="B29" s="270" t="s">
        <v>114</v>
      </c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</row>
    <row r="30" spans="1:13" s="250" customFormat="1" ht="12">
      <c r="A30" s="244" t="s">
        <v>104</v>
      </c>
      <c r="B30" s="215"/>
      <c r="C30" s="215"/>
      <c r="D30" s="169"/>
      <c r="E30" s="169"/>
      <c r="F30" s="169"/>
      <c r="G30" s="169"/>
      <c r="H30" s="215"/>
      <c r="I30" s="169"/>
      <c r="J30" s="169"/>
      <c r="K30" s="215"/>
      <c r="L30" s="169"/>
      <c r="M30" s="172"/>
    </row>
    <row r="31" spans="1:13" ht="13.5" customHeight="1">
      <c r="A31" s="245" t="s">
        <v>105</v>
      </c>
      <c r="B31" s="215"/>
      <c r="C31" s="215"/>
      <c r="D31" s="169">
        <v>1</v>
      </c>
      <c r="E31" s="169"/>
      <c r="F31" s="169"/>
      <c r="G31" s="169"/>
      <c r="H31" s="215"/>
      <c r="I31" s="215"/>
      <c r="J31" s="169"/>
      <c r="K31" s="169"/>
      <c r="L31" s="169"/>
      <c r="M31" s="172">
        <f>SUM(B31:L31)</f>
        <v>1</v>
      </c>
    </row>
    <row r="32" spans="1:13" ht="12">
      <c r="A32" s="245" t="s">
        <v>115</v>
      </c>
      <c r="B32" s="37">
        <v>11</v>
      </c>
      <c r="C32" s="37">
        <v>23</v>
      </c>
      <c r="D32" s="37">
        <v>7</v>
      </c>
      <c r="E32" s="37">
        <v>72</v>
      </c>
      <c r="F32" s="37">
        <v>98</v>
      </c>
      <c r="G32" s="37">
        <v>80</v>
      </c>
      <c r="H32" s="37">
        <v>1</v>
      </c>
      <c r="I32" s="37">
        <v>30</v>
      </c>
      <c r="J32" s="37">
        <v>11</v>
      </c>
      <c r="K32" s="37">
        <v>18</v>
      </c>
      <c r="L32" s="37">
        <v>24</v>
      </c>
      <c r="M32" s="172">
        <f aca="true" t="shared" si="7" ref="M32:M49">SUM(B32:L32)</f>
        <v>375</v>
      </c>
    </row>
    <row r="33" spans="1:13" ht="12">
      <c r="A33" s="245" t="s">
        <v>107</v>
      </c>
      <c r="B33" s="217">
        <f aca="true" t="shared" si="8" ref="B33:L33">+B31+B32</f>
        <v>11</v>
      </c>
      <c r="C33" s="217">
        <f t="shared" si="8"/>
        <v>23</v>
      </c>
      <c r="D33" s="217">
        <f t="shared" si="8"/>
        <v>8</v>
      </c>
      <c r="E33" s="217">
        <f t="shared" si="8"/>
        <v>72</v>
      </c>
      <c r="F33" s="217">
        <f t="shared" si="8"/>
        <v>98</v>
      </c>
      <c r="G33" s="217">
        <f t="shared" si="8"/>
        <v>80</v>
      </c>
      <c r="H33" s="217">
        <f t="shared" si="8"/>
        <v>1</v>
      </c>
      <c r="I33" s="217">
        <f t="shared" si="8"/>
        <v>30</v>
      </c>
      <c r="J33" s="217">
        <f t="shared" si="8"/>
        <v>11</v>
      </c>
      <c r="K33" s="217">
        <f t="shared" si="8"/>
        <v>18</v>
      </c>
      <c r="L33" s="217">
        <f t="shared" si="8"/>
        <v>24</v>
      </c>
      <c r="M33" s="251">
        <f t="shared" si="7"/>
        <v>376</v>
      </c>
    </row>
    <row r="34" spans="1:13" ht="12">
      <c r="A34" s="244" t="s">
        <v>151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72">
        <f t="shared" si="7"/>
        <v>0</v>
      </c>
    </row>
    <row r="35" spans="1:13" ht="12">
      <c r="A35" s="245" t="s">
        <v>105</v>
      </c>
      <c r="B35" s="223">
        <v>932</v>
      </c>
      <c r="C35" s="223">
        <v>2910</v>
      </c>
      <c r="D35" s="37">
        <v>786</v>
      </c>
      <c r="E35" s="37">
        <v>344</v>
      </c>
      <c r="F35" s="223">
        <v>4906</v>
      </c>
      <c r="G35" s="223">
        <v>3244</v>
      </c>
      <c r="H35" s="37">
        <v>418</v>
      </c>
      <c r="I35" s="37">
        <v>510</v>
      </c>
      <c r="J35" s="37">
        <v>428</v>
      </c>
      <c r="K35" s="223">
        <v>2098</v>
      </c>
      <c r="L35" s="223">
        <v>1193</v>
      </c>
      <c r="M35" s="172">
        <f t="shared" si="7"/>
        <v>17769</v>
      </c>
    </row>
    <row r="36" spans="1:13" ht="12">
      <c r="A36" s="245" t="s">
        <v>115</v>
      </c>
      <c r="B36" s="37">
        <v>278</v>
      </c>
      <c r="C36" s="37">
        <v>539</v>
      </c>
      <c r="D36" s="37">
        <v>125</v>
      </c>
      <c r="E36" s="37">
        <v>124</v>
      </c>
      <c r="F36" s="37">
        <v>1551</v>
      </c>
      <c r="G36" s="37">
        <v>858</v>
      </c>
      <c r="H36" s="37">
        <v>101</v>
      </c>
      <c r="I36" s="37">
        <v>101</v>
      </c>
      <c r="J36" s="37">
        <v>99</v>
      </c>
      <c r="K36" s="37">
        <v>547</v>
      </c>
      <c r="L36" s="37">
        <v>257</v>
      </c>
      <c r="M36" s="172">
        <f t="shared" si="7"/>
        <v>4580</v>
      </c>
    </row>
    <row r="37" spans="1:13" ht="12">
      <c r="A37" s="245" t="s">
        <v>107</v>
      </c>
      <c r="B37" s="217">
        <f aca="true" t="shared" si="9" ref="B37:L37">+B35+B36</f>
        <v>1210</v>
      </c>
      <c r="C37" s="217">
        <f>+C35+C36</f>
        <v>3449</v>
      </c>
      <c r="D37" s="217">
        <f t="shared" si="9"/>
        <v>911</v>
      </c>
      <c r="E37" s="217">
        <f t="shared" si="9"/>
        <v>468</v>
      </c>
      <c r="F37" s="217">
        <f t="shared" si="9"/>
        <v>6457</v>
      </c>
      <c r="G37" s="217">
        <f t="shared" si="9"/>
        <v>4102</v>
      </c>
      <c r="H37" s="217">
        <f t="shared" si="9"/>
        <v>519</v>
      </c>
      <c r="I37" s="217">
        <f t="shared" si="9"/>
        <v>611</v>
      </c>
      <c r="J37" s="217">
        <f t="shared" si="9"/>
        <v>527</v>
      </c>
      <c r="K37" s="217">
        <f t="shared" si="9"/>
        <v>2645</v>
      </c>
      <c r="L37" s="217">
        <f t="shared" si="9"/>
        <v>1450</v>
      </c>
      <c r="M37" s="251">
        <f t="shared" si="7"/>
        <v>22349</v>
      </c>
    </row>
    <row r="38" spans="1:13" ht="12">
      <c r="A38" s="244" t="s">
        <v>152</v>
      </c>
      <c r="B38" s="169"/>
      <c r="C38" s="215"/>
      <c r="D38" s="215"/>
      <c r="E38" s="215"/>
      <c r="F38" s="169"/>
      <c r="G38" s="169"/>
      <c r="H38" s="169"/>
      <c r="I38" s="169"/>
      <c r="J38" s="172"/>
      <c r="K38" s="215"/>
      <c r="L38" s="172"/>
      <c r="M38" s="172">
        <f t="shared" si="7"/>
        <v>0</v>
      </c>
    </row>
    <row r="39" spans="1:13" ht="12">
      <c r="A39" s="245" t="s">
        <v>105</v>
      </c>
      <c r="B39" s="37">
        <v>427</v>
      </c>
      <c r="C39" s="37">
        <v>1351</v>
      </c>
      <c r="D39" s="37">
        <v>469</v>
      </c>
      <c r="E39" s="37">
        <v>5</v>
      </c>
      <c r="F39" s="223">
        <v>2466</v>
      </c>
      <c r="G39" s="37">
        <v>1410</v>
      </c>
      <c r="H39" s="37">
        <v>153</v>
      </c>
      <c r="I39" s="37">
        <v>39</v>
      </c>
      <c r="J39" s="37">
        <v>192</v>
      </c>
      <c r="K39" s="37">
        <v>886</v>
      </c>
      <c r="L39" s="37">
        <v>556</v>
      </c>
      <c r="M39" s="172">
        <f t="shared" si="7"/>
        <v>7954</v>
      </c>
    </row>
    <row r="40" spans="1:13" ht="12">
      <c r="A40" s="245" t="s">
        <v>115</v>
      </c>
      <c r="B40" s="37">
        <v>89</v>
      </c>
      <c r="C40" s="37">
        <v>210</v>
      </c>
      <c r="D40" s="37">
        <v>45</v>
      </c>
      <c r="E40" s="37">
        <v>1</v>
      </c>
      <c r="F40" s="37">
        <v>665</v>
      </c>
      <c r="G40" s="37">
        <v>489</v>
      </c>
      <c r="H40" s="37">
        <v>53</v>
      </c>
      <c r="I40" s="37">
        <v>3</v>
      </c>
      <c r="J40" s="37">
        <v>45</v>
      </c>
      <c r="K40" s="37">
        <v>172</v>
      </c>
      <c r="L40" s="37">
        <v>123</v>
      </c>
      <c r="M40" s="172">
        <f t="shared" si="7"/>
        <v>1895</v>
      </c>
    </row>
    <row r="41" spans="1:13" ht="12">
      <c r="A41" s="245" t="s">
        <v>107</v>
      </c>
      <c r="B41" s="217">
        <f aca="true" t="shared" si="10" ref="B41:L41">+B39+B40</f>
        <v>516</v>
      </c>
      <c r="C41" s="217">
        <f t="shared" si="10"/>
        <v>1561</v>
      </c>
      <c r="D41" s="217">
        <f t="shared" si="10"/>
        <v>514</v>
      </c>
      <c r="E41" s="217">
        <f t="shared" si="10"/>
        <v>6</v>
      </c>
      <c r="F41" s="217">
        <f t="shared" si="10"/>
        <v>3131</v>
      </c>
      <c r="G41" s="217">
        <f t="shared" si="10"/>
        <v>1899</v>
      </c>
      <c r="H41" s="217">
        <f t="shared" si="10"/>
        <v>206</v>
      </c>
      <c r="I41" s="217">
        <f t="shared" si="10"/>
        <v>42</v>
      </c>
      <c r="J41" s="217">
        <f t="shared" si="10"/>
        <v>237</v>
      </c>
      <c r="K41" s="217">
        <f t="shared" si="10"/>
        <v>1058</v>
      </c>
      <c r="L41" s="217">
        <f t="shared" si="10"/>
        <v>679</v>
      </c>
      <c r="M41" s="251">
        <f t="shared" si="7"/>
        <v>9849</v>
      </c>
    </row>
    <row r="42" spans="1:13" ht="12">
      <c r="A42" s="244" t="s">
        <v>153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72">
        <f t="shared" si="7"/>
        <v>0</v>
      </c>
    </row>
    <row r="43" spans="1:13" ht="12">
      <c r="A43" s="245" t="s">
        <v>105</v>
      </c>
      <c r="B43" s="37">
        <v>91</v>
      </c>
      <c r="C43" s="37">
        <v>0</v>
      </c>
      <c r="D43" s="37">
        <v>355</v>
      </c>
      <c r="E43" s="37">
        <v>1605</v>
      </c>
      <c r="F43" s="37">
        <v>319</v>
      </c>
      <c r="G43" s="37">
        <v>3</v>
      </c>
      <c r="H43" s="37">
        <v>0</v>
      </c>
      <c r="I43" s="37">
        <v>1229</v>
      </c>
      <c r="J43" s="37">
        <v>102</v>
      </c>
      <c r="K43" s="37">
        <v>0</v>
      </c>
      <c r="L43" s="37">
        <v>0</v>
      </c>
      <c r="M43" s="172">
        <f t="shared" si="7"/>
        <v>3704</v>
      </c>
    </row>
    <row r="44" spans="1:13" ht="12">
      <c r="A44" s="245" t="s">
        <v>115</v>
      </c>
      <c r="B44" s="37">
        <v>38</v>
      </c>
      <c r="C44" s="37">
        <v>0</v>
      </c>
      <c r="D44" s="37">
        <v>81</v>
      </c>
      <c r="E44" s="37">
        <v>524</v>
      </c>
      <c r="F44" s="37">
        <v>156</v>
      </c>
      <c r="G44" s="37">
        <v>0</v>
      </c>
      <c r="H44" s="37">
        <v>0</v>
      </c>
      <c r="I44" s="37">
        <v>253</v>
      </c>
      <c r="J44" s="37">
        <v>24</v>
      </c>
      <c r="K44" s="37">
        <v>0</v>
      </c>
      <c r="L44" s="37">
        <v>0</v>
      </c>
      <c r="M44" s="172">
        <f t="shared" si="7"/>
        <v>1076</v>
      </c>
    </row>
    <row r="45" spans="1:13" ht="12">
      <c r="A45" s="245" t="s">
        <v>107</v>
      </c>
      <c r="B45" s="217">
        <f aca="true" t="shared" si="11" ref="B45:L45">+B43+B44</f>
        <v>129</v>
      </c>
      <c r="C45" s="217">
        <f t="shared" si="11"/>
        <v>0</v>
      </c>
      <c r="D45" s="217">
        <f t="shared" si="11"/>
        <v>436</v>
      </c>
      <c r="E45" s="217">
        <f t="shared" si="11"/>
        <v>2129</v>
      </c>
      <c r="F45" s="217">
        <f t="shared" si="11"/>
        <v>475</v>
      </c>
      <c r="G45" s="217">
        <f t="shared" si="11"/>
        <v>3</v>
      </c>
      <c r="H45" s="217">
        <f t="shared" si="11"/>
        <v>0</v>
      </c>
      <c r="I45" s="217">
        <f t="shared" si="11"/>
        <v>1482</v>
      </c>
      <c r="J45" s="217">
        <f t="shared" si="11"/>
        <v>126</v>
      </c>
      <c r="K45" s="217">
        <f t="shared" si="11"/>
        <v>0</v>
      </c>
      <c r="L45" s="217">
        <f t="shared" si="11"/>
        <v>0</v>
      </c>
      <c r="M45" s="251">
        <f t="shared" si="7"/>
        <v>4780</v>
      </c>
    </row>
    <row r="46" spans="1:13" s="135" customFormat="1" ht="12">
      <c r="A46" s="244" t="s">
        <v>112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172">
        <f t="shared" si="7"/>
        <v>0</v>
      </c>
    </row>
    <row r="47" spans="1:13" s="135" customFormat="1" ht="12">
      <c r="A47" s="245" t="s">
        <v>105</v>
      </c>
      <c r="B47" s="223">
        <f>B31+B35+B39+B43</f>
        <v>1450</v>
      </c>
      <c r="C47" s="223">
        <f aca="true" t="shared" si="12" ref="C47:L47">C31+C35+C39+C43</f>
        <v>4261</v>
      </c>
      <c r="D47" s="223">
        <f t="shared" si="12"/>
        <v>1611</v>
      </c>
      <c r="E47" s="223">
        <f t="shared" si="12"/>
        <v>1954</v>
      </c>
      <c r="F47" s="223">
        <f t="shared" si="12"/>
        <v>7691</v>
      </c>
      <c r="G47" s="223">
        <f t="shared" si="12"/>
        <v>4657</v>
      </c>
      <c r="H47" s="223">
        <f t="shared" si="12"/>
        <v>571</v>
      </c>
      <c r="I47" s="223">
        <f t="shared" si="12"/>
        <v>1778</v>
      </c>
      <c r="J47" s="223">
        <f t="shared" si="12"/>
        <v>722</v>
      </c>
      <c r="K47" s="223">
        <f t="shared" si="12"/>
        <v>2984</v>
      </c>
      <c r="L47" s="223">
        <f t="shared" si="12"/>
        <v>1749</v>
      </c>
      <c r="M47" s="172">
        <f t="shared" si="7"/>
        <v>29428</v>
      </c>
    </row>
    <row r="48" spans="1:13" s="135" customFormat="1" ht="12">
      <c r="A48" s="245" t="s">
        <v>115</v>
      </c>
      <c r="B48" s="223">
        <f>B32+B36+B40+B44</f>
        <v>416</v>
      </c>
      <c r="C48" s="223">
        <f aca="true" t="shared" si="13" ref="C48:L48">C32+C36+C40+C44</f>
        <v>772</v>
      </c>
      <c r="D48" s="223">
        <f t="shared" si="13"/>
        <v>258</v>
      </c>
      <c r="E48" s="223">
        <f t="shared" si="13"/>
        <v>721</v>
      </c>
      <c r="F48" s="223">
        <f t="shared" si="13"/>
        <v>2470</v>
      </c>
      <c r="G48" s="223">
        <f t="shared" si="13"/>
        <v>1427</v>
      </c>
      <c r="H48" s="223">
        <f t="shared" si="13"/>
        <v>155</v>
      </c>
      <c r="I48" s="223">
        <f t="shared" si="13"/>
        <v>387</v>
      </c>
      <c r="J48" s="223">
        <f t="shared" si="13"/>
        <v>179</v>
      </c>
      <c r="K48" s="223">
        <f t="shared" si="13"/>
        <v>737</v>
      </c>
      <c r="L48" s="223">
        <f t="shared" si="13"/>
        <v>404</v>
      </c>
      <c r="M48" s="172">
        <f t="shared" si="7"/>
        <v>7926</v>
      </c>
    </row>
    <row r="49" spans="1:13" s="135" customFormat="1" ht="12">
      <c r="A49" s="245" t="s">
        <v>107</v>
      </c>
      <c r="B49" s="217">
        <f aca="true" t="shared" si="14" ref="B49:L49">+B47+B48</f>
        <v>1866</v>
      </c>
      <c r="C49" s="217">
        <f>+C47+C48</f>
        <v>5033</v>
      </c>
      <c r="D49" s="217">
        <f t="shared" si="14"/>
        <v>1869</v>
      </c>
      <c r="E49" s="217">
        <f t="shared" si="14"/>
        <v>2675</v>
      </c>
      <c r="F49" s="217">
        <f t="shared" si="14"/>
        <v>10161</v>
      </c>
      <c r="G49" s="217">
        <f t="shared" si="14"/>
        <v>6084</v>
      </c>
      <c r="H49" s="217">
        <f t="shared" si="14"/>
        <v>726</v>
      </c>
      <c r="I49" s="217">
        <f t="shared" si="14"/>
        <v>2165</v>
      </c>
      <c r="J49" s="217">
        <f t="shared" si="14"/>
        <v>901</v>
      </c>
      <c r="K49" s="217">
        <f t="shared" si="14"/>
        <v>3721</v>
      </c>
      <c r="L49" s="217">
        <f t="shared" si="14"/>
        <v>2153</v>
      </c>
      <c r="M49" s="251">
        <f t="shared" si="7"/>
        <v>37354</v>
      </c>
    </row>
    <row r="50" spans="1:13" s="135" customFormat="1" ht="12">
      <c r="A50" s="267"/>
      <c r="B50" s="270" t="s">
        <v>65</v>
      </c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</row>
    <row r="51" spans="1:13" s="250" customFormat="1" ht="12">
      <c r="A51" s="244" t="s">
        <v>104</v>
      </c>
      <c r="B51" s="215"/>
      <c r="C51" s="215"/>
      <c r="D51" s="169"/>
      <c r="E51" s="169"/>
      <c r="F51" s="169"/>
      <c r="G51" s="169"/>
      <c r="H51" s="215"/>
      <c r="I51" s="169"/>
      <c r="J51" s="169"/>
      <c r="K51" s="215"/>
      <c r="L51" s="169"/>
      <c r="M51" s="172"/>
    </row>
    <row r="52" spans="1:13" ht="13.5" customHeight="1">
      <c r="A52" s="245" t="s">
        <v>105</v>
      </c>
      <c r="B52" s="37"/>
      <c r="C52" s="37"/>
      <c r="D52" s="37">
        <v>1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172">
        <f>SUM(B52:L52)</f>
        <v>1</v>
      </c>
    </row>
    <row r="53" spans="1:13" ht="12">
      <c r="A53" s="245" t="s">
        <v>115</v>
      </c>
      <c r="B53" s="37">
        <v>15</v>
      </c>
      <c r="C53" s="37">
        <v>28</v>
      </c>
      <c r="D53" s="37">
        <v>19</v>
      </c>
      <c r="E53" s="37">
        <v>139</v>
      </c>
      <c r="F53" s="37">
        <v>20</v>
      </c>
      <c r="G53" s="37">
        <v>125</v>
      </c>
      <c r="H53" s="37">
        <v>36</v>
      </c>
      <c r="I53" s="37">
        <v>20</v>
      </c>
      <c r="J53" s="37">
        <v>132</v>
      </c>
      <c r="K53" s="37">
        <v>20</v>
      </c>
      <c r="L53" s="37">
        <v>47</v>
      </c>
      <c r="M53" s="172">
        <f aca="true" t="shared" si="15" ref="M53:M69">SUM(B53:L53)</f>
        <v>601</v>
      </c>
    </row>
    <row r="54" spans="1:13" ht="12">
      <c r="A54" s="245" t="s">
        <v>107</v>
      </c>
      <c r="B54" s="217">
        <f aca="true" t="shared" si="16" ref="B54:L54">+B52+B53</f>
        <v>15</v>
      </c>
      <c r="C54" s="217">
        <f t="shared" si="16"/>
        <v>28</v>
      </c>
      <c r="D54" s="217">
        <f t="shared" si="16"/>
        <v>20</v>
      </c>
      <c r="E54" s="217">
        <f t="shared" si="16"/>
        <v>139</v>
      </c>
      <c r="F54" s="217">
        <f t="shared" si="16"/>
        <v>20</v>
      </c>
      <c r="G54" s="217">
        <f t="shared" si="16"/>
        <v>125</v>
      </c>
      <c r="H54" s="217">
        <f t="shared" si="16"/>
        <v>36</v>
      </c>
      <c r="I54" s="217">
        <f t="shared" si="16"/>
        <v>20</v>
      </c>
      <c r="J54" s="217">
        <f t="shared" si="16"/>
        <v>132</v>
      </c>
      <c r="K54" s="217">
        <f t="shared" si="16"/>
        <v>20</v>
      </c>
      <c r="L54" s="217">
        <f t="shared" si="16"/>
        <v>47</v>
      </c>
      <c r="M54" s="172">
        <f t="shared" si="15"/>
        <v>602</v>
      </c>
    </row>
    <row r="55" spans="1:13" ht="12">
      <c r="A55" s="244" t="s">
        <v>151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72">
        <f t="shared" si="15"/>
        <v>0</v>
      </c>
    </row>
    <row r="56" spans="1:13" ht="12">
      <c r="A56" s="245" t="s">
        <v>105</v>
      </c>
      <c r="B56" s="37">
        <v>598</v>
      </c>
      <c r="C56" s="37">
        <v>2454</v>
      </c>
      <c r="D56" s="37">
        <v>640</v>
      </c>
      <c r="E56" s="37">
        <v>648</v>
      </c>
      <c r="F56" s="37">
        <v>1684</v>
      </c>
      <c r="G56" s="37">
        <v>5742</v>
      </c>
      <c r="H56" s="37">
        <v>1638</v>
      </c>
      <c r="I56" s="37">
        <v>1735</v>
      </c>
      <c r="J56" s="37">
        <v>2160</v>
      </c>
      <c r="K56" s="37">
        <v>1419</v>
      </c>
      <c r="L56" s="37">
        <v>2296</v>
      </c>
      <c r="M56" s="172">
        <f t="shared" si="15"/>
        <v>21014</v>
      </c>
    </row>
    <row r="57" spans="1:13" ht="12">
      <c r="A57" s="245" t="s">
        <v>115</v>
      </c>
      <c r="B57" s="37">
        <v>210</v>
      </c>
      <c r="C57" s="37">
        <v>395</v>
      </c>
      <c r="D57" s="37">
        <v>60</v>
      </c>
      <c r="E57" s="37">
        <v>209</v>
      </c>
      <c r="F57" s="37">
        <v>402</v>
      </c>
      <c r="G57" s="37">
        <v>1395</v>
      </c>
      <c r="H57" s="37">
        <v>348</v>
      </c>
      <c r="I57" s="37">
        <v>155</v>
      </c>
      <c r="J57" s="37">
        <v>420</v>
      </c>
      <c r="K57" s="37">
        <v>276</v>
      </c>
      <c r="L57" s="37">
        <v>336</v>
      </c>
      <c r="M57" s="172">
        <f t="shared" si="15"/>
        <v>4206</v>
      </c>
    </row>
    <row r="58" spans="1:13" ht="12">
      <c r="A58" s="245" t="s">
        <v>107</v>
      </c>
      <c r="B58" s="217">
        <f aca="true" t="shared" si="17" ref="B58:L58">+B56+B57</f>
        <v>808</v>
      </c>
      <c r="C58" s="217">
        <f t="shared" si="17"/>
        <v>2849</v>
      </c>
      <c r="D58" s="217">
        <f t="shared" si="17"/>
        <v>700</v>
      </c>
      <c r="E58" s="217">
        <f t="shared" si="17"/>
        <v>857</v>
      </c>
      <c r="F58" s="217">
        <f t="shared" si="17"/>
        <v>2086</v>
      </c>
      <c r="G58" s="217">
        <f t="shared" si="17"/>
        <v>7137</v>
      </c>
      <c r="H58" s="217">
        <f>+H56+H57</f>
        <v>1986</v>
      </c>
      <c r="I58" s="217">
        <f t="shared" si="17"/>
        <v>1890</v>
      </c>
      <c r="J58" s="217">
        <f t="shared" si="17"/>
        <v>2580</v>
      </c>
      <c r="K58" s="217">
        <f t="shared" si="17"/>
        <v>1695</v>
      </c>
      <c r="L58" s="217">
        <f t="shared" si="17"/>
        <v>2632</v>
      </c>
      <c r="M58" s="172">
        <f t="shared" si="15"/>
        <v>25220</v>
      </c>
    </row>
    <row r="59" spans="1:13" ht="12">
      <c r="A59" s="244" t="s">
        <v>152</v>
      </c>
      <c r="B59" s="169"/>
      <c r="C59" s="215"/>
      <c r="D59" s="215"/>
      <c r="E59" s="215"/>
      <c r="F59" s="169"/>
      <c r="G59" s="169"/>
      <c r="H59" s="169"/>
      <c r="I59" s="169"/>
      <c r="J59" s="172"/>
      <c r="K59" s="215"/>
      <c r="L59" s="172"/>
      <c r="M59" s="172">
        <f t="shared" si="15"/>
        <v>0</v>
      </c>
    </row>
    <row r="60" spans="1:13" ht="12">
      <c r="A60" s="245" t="s">
        <v>105</v>
      </c>
      <c r="B60" s="37">
        <v>314</v>
      </c>
      <c r="C60" s="37">
        <v>1291</v>
      </c>
      <c r="D60" s="37">
        <v>344</v>
      </c>
      <c r="E60" s="37">
        <v>19</v>
      </c>
      <c r="F60" s="37">
        <v>930</v>
      </c>
      <c r="G60" s="37">
        <v>2469</v>
      </c>
      <c r="H60" s="37">
        <v>912</v>
      </c>
      <c r="I60" s="37">
        <v>105</v>
      </c>
      <c r="J60" s="37">
        <v>996</v>
      </c>
      <c r="K60" s="37">
        <v>714</v>
      </c>
      <c r="L60" s="37">
        <v>1109</v>
      </c>
      <c r="M60" s="172">
        <f t="shared" si="15"/>
        <v>9203</v>
      </c>
    </row>
    <row r="61" spans="1:13" ht="12">
      <c r="A61" s="245" t="s">
        <v>115</v>
      </c>
      <c r="B61" s="37">
        <v>115</v>
      </c>
      <c r="C61" s="37">
        <v>154</v>
      </c>
      <c r="D61" s="37">
        <v>35</v>
      </c>
      <c r="E61" s="37">
        <v>2</v>
      </c>
      <c r="F61" s="37">
        <v>215</v>
      </c>
      <c r="G61" s="37">
        <v>783</v>
      </c>
      <c r="H61" s="37">
        <v>210</v>
      </c>
      <c r="I61" s="37">
        <v>6</v>
      </c>
      <c r="J61" s="37">
        <v>297</v>
      </c>
      <c r="K61" s="37">
        <v>110</v>
      </c>
      <c r="L61" s="37">
        <v>194</v>
      </c>
      <c r="M61" s="172">
        <f t="shared" si="15"/>
        <v>2121</v>
      </c>
    </row>
    <row r="62" spans="1:13" ht="12">
      <c r="A62" s="245" t="s">
        <v>107</v>
      </c>
      <c r="B62" s="217">
        <f aca="true" t="shared" si="18" ref="B62:H62">+B60+B61</f>
        <v>429</v>
      </c>
      <c r="C62" s="217">
        <f t="shared" si="18"/>
        <v>1445</v>
      </c>
      <c r="D62" s="217">
        <f t="shared" si="18"/>
        <v>379</v>
      </c>
      <c r="E62" s="217">
        <f t="shared" si="18"/>
        <v>21</v>
      </c>
      <c r="F62" s="217">
        <f t="shared" si="18"/>
        <v>1145</v>
      </c>
      <c r="G62" s="217">
        <f t="shared" si="18"/>
        <v>3252</v>
      </c>
      <c r="H62" s="217">
        <f t="shared" si="18"/>
        <v>1122</v>
      </c>
      <c r="I62" s="217">
        <f>+I60+I61</f>
        <v>111</v>
      </c>
      <c r="J62" s="217">
        <f>+J60+J61</f>
        <v>1293</v>
      </c>
      <c r="K62" s="217">
        <f>+K60+K61</f>
        <v>824</v>
      </c>
      <c r="L62" s="217">
        <f>+L60+L61</f>
        <v>1303</v>
      </c>
      <c r="M62" s="172">
        <f t="shared" si="15"/>
        <v>11324</v>
      </c>
    </row>
    <row r="63" spans="1:13" ht="12">
      <c r="A63" s="244" t="s">
        <v>153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72">
        <f t="shared" si="15"/>
        <v>0</v>
      </c>
    </row>
    <row r="64" spans="1:13" ht="12">
      <c r="A64" s="245" t="s">
        <v>105</v>
      </c>
      <c r="B64" s="37">
        <v>291</v>
      </c>
      <c r="C64" s="37">
        <v>0</v>
      </c>
      <c r="D64" s="37">
        <v>1079</v>
      </c>
      <c r="E64" s="37">
        <v>3191</v>
      </c>
      <c r="F64" s="37">
        <v>463</v>
      </c>
      <c r="G64" s="37">
        <v>44</v>
      </c>
      <c r="H64" s="37">
        <v>0</v>
      </c>
      <c r="I64" s="37">
        <v>1491</v>
      </c>
      <c r="J64" s="37">
        <v>1173</v>
      </c>
      <c r="K64" s="37">
        <v>0</v>
      </c>
      <c r="L64" s="37">
        <v>0</v>
      </c>
      <c r="M64" s="172">
        <f t="shared" si="15"/>
        <v>7732</v>
      </c>
    </row>
    <row r="65" spans="1:13" ht="12">
      <c r="A65" s="245" t="s">
        <v>115</v>
      </c>
      <c r="B65" s="37">
        <v>95</v>
      </c>
      <c r="C65" s="37">
        <v>0</v>
      </c>
      <c r="D65" s="37">
        <v>245</v>
      </c>
      <c r="E65" s="37">
        <v>909</v>
      </c>
      <c r="F65" s="37">
        <v>143</v>
      </c>
      <c r="G65" s="37">
        <v>1</v>
      </c>
      <c r="H65" s="37">
        <v>0</v>
      </c>
      <c r="I65" s="37">
        <v>292</v>
      </c>
      <c r="J65" s="37">
        <v>252</v>
      </c>
      <c r="K65" s="37">
        <v>0</v>
      </c>
      <c r="L65" s="37">
        <v>0</v>
      </c>
      <c r="M65" s="172">
        <f t="shared" si="15"/>
        <v>1937</v>
      </c>
    </row>
    <row r="66" spans="1:13" ht="12">
      <c r="A66" s="245" t="s">
        <v>107</v>
      </c>
      <c r="B66" s="217">
        <f aca="true" t="shared" si="19" ref="B66:L66">+B64+B65</f>
        <v>386</v>
      </c>
      <c r="C66" s="217">
        <f t="shared" si="19"/>
        <v>0</v>
      </c>
      <c r="D66" s="217">
        <f t="shared" si="19"/>
        <v>1324</v>
      </c>
      <c r="E66" s="217">
        <f t="shared" si="19"/>
        <v>4100</v>
      </c>
      <c r="F66" s="217">
        <f t="shared" si="19"/>
        <v>606</v>
      </c>
      <c r="G66" s="217">
        <f t="shared" si="19"/>
        <v>45</v>
      </c>
      <c r="H66" s="217">
        <f t="shared" si="19"/>
        <v>0</v>
      </c>
      <c r="I66" s="217">
        <f t="shared" si="19"/>
        <v>1783</v>
      </c>
      <c r="J66" s="217">
        <f t="shared" si="19"/>
        <v>1425</v>
      </c>
      <c r="K66" s="217">
        <f t="shared" si="19"/>
        <v>0</v>
      </c>
      <c r="L66" s="217">
        <f t="shared" si="19"/>
        <v>0</v>
      </c>
      <c r="M66" s="172">
        <f t="shared" si="15"/>
        <v>9669</v>
      </c>
    </row>
    <row r="67" spans="1:13" ht="12">
      <c r="A67" s="244" t="s">
        <v>112</v>
      </c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172">
        <f t="shared" si="15"/>
        <v>0</v>
      </c>
    </row>
    <row r="68" spans="1:13" ht="12">
      <c r="A68" s="245" t="s">
        <v>105</v>
      </c>
      <c r="B68" s="223">
        <f>B64+B60+B56+B52</f>
        <v>1203</v>
      </c>
      <c r="C68" s="223">
        <f aca="true" t="shared" si="20" ref="C68:L68">C64+C60+C56+C52</f>
        <v>3745</v>
      </c>
      <c r="D68" s="223">
        <f t="shared" si="20"/>
        <v>2064</v>
      </c>
      <c r="E68" s="223">
        <f t="shared" si="20"/>
        <v>3858</v>
      </c>
      <c r="F68" s="223">
        <f t="shared" si="20"/>
        <v>3077</v>
      </c>
      <c r="G68" s="223">
        <f t="shared" si="20"/>
        <v>8255</v>
      </c>
      <c r="H68" s="223">
        <f t="shared" si="20"/>
        <v>2550</v>
      </c>
      <c r="I68" s="223">
        <f t="shared" si="20"/>
        <v>3331</v>
      </c>
      <c r="J68" s="223">
        <f t="shared" si="20"/>
        <v>4329</v>
      </c>
      <c r="K68" s="223">
        <f t="shared" si="20"/>
        <v>2133</v>
      </c>
      <c r="L68" s="223">
        <f t="shared" si="20"/>
        <v>3405</v>
      </c>
      <c r="M68" s="172">
        <f t="shared" si="15"/>
        <v>37950</v>
      </c>
    </row>
    <row r="69" spans="1:13" ht="12">
      <c r="A69" s="245" t="s">
        <v>115</v>
      </c>
      <c r="B69" s="223">
        <f>B65+B61+B57+B53</f>
        <v>435</v>
      </c>
      <c r="C69" s="223">
        <f aca="true" t="shared" si="21" ref="C69:L69">C65+C61+C57+C53</f>
        <v>577</v>
      </c>
      <c r="D69" s="223">
        <f t="shared" si="21"/>
        <v>359</v>
      </c>
      <c r="E69" s="223">
        <f t="shared" si="21"/>
        <v>1259</v>
      </c>
      <c r="F69" s="223">
        <f t="shared" si="21"/>
        <v>780</v>
      </c>
      <c r="G69" s="223">
        <f t="shared" si="21"/>
        <v>2304</v>
      </c>
      <c r="H69" s="223">
        <f t="shared" si="21"/>
        <v>594</v>
      </c>
      <c r="I69" s="223">
        <f t="shared" si="21"/>
        <v>473</v>
      </c>
      <c r="J69" s="223">
        <f t="shared" si="21"/>
        <v>1101</v>
      </c>
      <c r="K69" s="223">
        <f t="shared" si="21"/>
        <v>406</v>
      </c>
      <c r="L69" s="223">
        <f t="shared" si="21"/>
        <v>577</v>
      </c>
      <c r="M69" s="172">
        <f t="shared" si="15"/>
        <v>8865</v>
      </c>
    </row>
    <row r="70" spans="1:13" ht="12">
      <c r="A70" s="266" t="s">
        <v>107</v>
      </c>
      <c r="B70" s="221">
        <f aca="true" t="shared" si="22" ref="B70:M70">+B68+B69</f>
        <v>1638</v>
      </c>
      <c r="C70" s="221">
        <f t="shared" si="22"/>
        <v>4322</v>
      </c>
      <c r="D70" s="221">
        <f t="shared" si="22"/>
        <v>2423</v>
      </c>
      <c r="E70" s="221">
        <f t="shared" si="22"/>
        <v>5117</v>
      </c>
      <c r="F70" s="221">
        <f t="shared" si="22"/>
        <v>3857</v>
      </c>
      <c r="G70" s="221">
        <f t="shared" si="22"/>
        <v>10559</v>
      </c>
      <c r="H70" s="221">
        <f t="shared" si="22"/>
        <v>3144</v>
      </c>
      <c r="I70" s="221">
        <f t="shared" si="22"/>
        <v>3804</v>
      </c>
      <c r="J70" s="221">
        <f t="shared" si="22"/>
        <v>5430</v>
      </c>
      <c r="K70" s="221">
        <f t="shared" si="22"/>
        <v>2539</v>
      </c>
      <c r="L70" s="221">
        <f t="shared" si="22"/>
        <v>3982</v>
      </c>
      <c r="M70" s="221">
        <f t="shared" si="22"/>
        <v>46815</v>
      </c>
    </row>
    <row r="71" spans="1:13" ht="12">
      <c r="A71" s="73" t="s">
        <v>147</v>
      </c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</row>
    <row r="72" spans="1:13" ht="12">
      <c r="A72" s="256" t="s">
        <v>133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4"/>
    </row>
    <row r="73" spans="1:13" ht="12">
      <c r="A73" s="257" t="s">
        <v>66</v>
      </c>
      <c r="B73" s="258"/>
      <c r="C73" s="223"/>
      <c r="D73" s="258"/>
      <c r="E73" s="223"/>
      <c r="F73" s="258"/>
      <c r="G73" s="258"/>
      <c r="H73" s="258"/>
      <c r="I73" s="258"/>
      <c r="J73" s="258"/>
      <c r="K73" s="223"/>
      <c r="L73" s="258"/>
      <c r="M73" s="224"/>
    </row>
    <row r="74" spans="1:13" ht="12">
      <c r="A74" s="259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</row>
    <row r="75" spans="1:13" ht="12">
      <c r="A75" s="260"/>
      <c r="B75" s="200"/>
      <c r="C75" s="225"/>
      <c r="D75" s="225"/>
      <c r="E75" s="225"/>
      <c r="F75" s="200"/>
      <c r="G75" s="200"/>
      <c r="H75" s="200"/>
      <c r="I75" s="200"/>
      <c r="J75" s="200"/>
      <c r="K75" s="225"/>
      <c r="L75" s="200"/>
      <c r="M75" s="224"/>
    </row>
    <row r="76" spans="1:13" ht="12">
      <c r="A76" s="260"/>
      <c r="B76" s="200"/>
      <c r="C76" s="225"/>
      <c r="D76" s="225"/>
      <c r="E76" s="225"/>
      <c r="F76" s="200"/>
      <c r="G76" s="200"/>
      <c r="H76" s="200"/>
      <c r="I76" s="200"/>
      <c r="J76" s="200"/>
      <c r="K76" s="225"/>
      <c r="L76" s="200"/>
      <c r="M76" s="224"/>
    </row>
    <row r="77" spans="1:13" ht="12">
      <c r="A77" s="260"/>
      <c r="B77" s="200"/>
      <c r="C77" s="225"/>
      <c r="D77" s="225"/>
      <c r="E77" s="225"/>
      <c r="F77" s="200"/>
      <c r="G77" s="200"/>
      <c r="H77" s="200"/>
      <c r="I77" s="200"/>
      <c r="J77" s="200"/>
      <c r="K77" s="225"/>
      <c r="L77" s="200"/>
      <c r="M77" s="224"/>
    </row>
    <row r="78" spans="1:13" ht="12">
      <c r="A78" s="260"/>
      <c r="B78" s="200"/>
      <c r="C78" s="225"/>
      <c r="D78" s="225"/>
      <c r="E78" s="225"/>
      <c r="F78" s="200"/>
      <c r="G78" s="200"/>
      <c r="H78" s="200"/>
      <c r="I78" s="200"/>
      <c r="J78" s="200"/>
      <c r="K78" s="225"/>
      <c r="L78" s="200"/>
      <c r="M78" s="224"/>
    </row>
    <row r="79" spans="1:13" ht="12">
      <c r="A79" s="260"/>
      <c r="B79" s="200"/>
      <c r="C79" s="225"/>
      <c r="D79" s="225"/>
      <c r="E79" s="225"/>
      <c r="F79" s="200"/>
      <c r="G79" s="200"/>
      <c r="H79" s="200"/>
      <c r="I79" s="200"/>
      <c r="J79" s="225"/>
      <c r="K79" s="225"/>
      <c r="L79" s="200"/>
      <c r="M79" s="224"/>
    </row>
    <row r="80" spans="1:13" ht="12">
      <c r="A80" s="260"/>
      <c r="B80" s="200"/>
      <c r="C80" s="225"/>
      <c r="D80" s="200"/>
      <c r="E80" s="225"/>
      <c r="F80" s="200"/>
      <c r="G80" s="200"/>
      <c r="H80" s="200"/>
      <c r="I80" s="200"/>
      <c r="J80" s="200"/>
      <c r="K80" s="225"/>
      <c r="L80" s="200"/>
      <c r="M80" s="224"/>
    </row>
    <row r="81" spans="1:13" ht="12">
      <c r="A81" s="264"/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24"/>
    </row>
    <row r="82" spans="1:13" ht="12">
      <c r="A82" s="264"/>
      <c r="B82" s="264"/>
      <c r="C82" s="264"/>
      <c r="D82" s="264"/>
      <c r="E82" s="264"/>
      <c r="F82" s="264"/>
      <c r="G82" s="264"/>
      <c r="H82" s="264"/>
      <c r="I82" s="264"/>
      <c r="J82" s="264"/>
      <c r="K82" s="264"/>
      <c r="L82" s="264"/>
      <c r="M82" s="224"/>
    </row>
    <row r="83" spans="1:13" ht="12">
      <c r="A83" s="164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</row>
    <row r="84" spans="1:13" ht="12">
      <c r="A84" s="262"/>
      <c r="B84" s="226"/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63"/>
    </row>
  </sheetData>
  <sheetProtection/>
  <mergeCells count="4">
    <mergeCell ref="B3:L3"/>
    <mergeCell ref="B50:M50"/>
    <mergeCell ref="B29:M29"/>
    <mergeCell ref="B8:M8"/>
  </mergeCells>
  <printOptions/>
  <pageMargins left="0.5511811023622047" right="0.2362204724409449" top="0.5511811023622047" bottom="0.1968503937007874" header="0.5118110236220472" footer="0.2362204724409449"/>
  <pageSetup fitToHeight="1" fitToWidth="1" orientation="portrait" paperSize="9" scale="68" r:id="rId1"/>
  <headerFooter alignWithMargins="0">
    <oddHeader>&amp;R&amp;F</oddHeader>
    <oddFooter>&amp;LComune di Bologna - Dipartimento Programmazione - Settore Statistica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84"/>
  <sheetViews>
    <sheetView showZeros="0" zoomScalePageLayoutView="0" workbookViewId="0" topLeftCell="A1">
      <pane ySplit="7" topLeftCell="A8" activePane="bottomLeft" state="frozen"/>
      <selection pane="topLeft" activeCell="A1" sqref="A1:IV16384"/>
      <selection pane="bottomLeft" activeCell="T61" sqref="T61"/>
    </sheetView>
  </sheetViews>
  <sheetFormatPr defaultColWidth="10.875" defaultRowHeight="12"/>
  <cols>
    <col min="1" max="1" width="56.625" style="138" customWidth="1"/>
    <col min="2" max="3" width="11.25390625" style="138" customWidth="1"/>
    <col min="4" max="4" width="12.00390625" style="138" customWidth="1"/>
    <col min="5" max="5" width="13.00390625" style="138" customWidth="1"/>
    <col min="6" max="7" width="11.25390625" style="138" customWidth="1"/>
    <col min="8" max="8" width="12.875" style="138" customWidth="1"/>
    <col min="9" max="12" width="11.25390625" style="138" customWidth="1"/>
    <col min="13" max="13" width="8.00390625" style="138" customWidth="1"/>
    <col min="14" max="15" width="9.875" style="138" customWidth="1"/>
    <col min="16" max="16384" width="10.875" style="138" customWidth="1"/>
  </cols>
  <sheetData>
    <row r="1" spans="1:13" s="120" customFormat="1" ht="15" customHeight="1">
      <c r="A1" s="227" t="s">
        <v>134</v>
      </c>
      <c r="B1" s="209"/>
      <c r="C1" s="209"/>
      <c r="D1" s="209"/>
      <c r="E1" s="209"/>
      <c r="F1" s="209"/>
      <c r="G1" s="209"/>
      <c r="H1" s="227"/>
      <c r="I1" s="209"/>
      <c r="J1" s="209"/>
      <c r="K1" s="209"/>
      <c r="L1" s="209"/>
      <c r="M1" s="228"/>
    </row>
    <row r="2" spans="1:13" s="131" customFormat="1" ht="15">
      <c r="A2" s="229" t="s">
        <v>154</v>
      </c>
      <c r="B2" s="211"/>
      <c r="C2" s="211"/>
      <c r="D2" s="230"/>
      <c r="E2" s="211"/>
      <c r="F2" s="231"/>
      <c r="G2" s="230"/>
      <c r="H2" s="232"/>
      <c r="I2" s="211"/>
      <c r="J2" s="233"/>
      <c r="K2" s="234" t="s">
        <v>132</v>
      </c>
      <c r="L2" s="211"/>
      <c r="M2" s="236"/>
    </row>
    <row r="3" spans="1:13" s="135" customFormat="1" ht="12">
      <c r="A3" s="237"/>
      <c r="B3" s="268" t="s">
        <v>136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38" t="s">
        <v>103</v>
      </c>
    </row>
    <row r="4" spans="1:12" ht="48">
      <c r="A4" s="237"/>
      <c r="B4" s="265" t="s">
        <v>137</v>
      </c>
      <c r="C4" s="265" t="s">
        <v>138</v>
      </c>
      <c r="D4" s="265" t="s">
        <v>139</v>
      </c>
      <c r="E4" s="265" t="s">
        <v>140</v>
      </c>
      <c r="F4" s="265" t="s">
        <v>141</v>
      </c>
      <c r="G4" s="265" t="s">
        <v>142</v>
      </c>
      <c r="H4" s="265" t="s">
        <v>143</v>
      </c>
      <c r="I4" s="265" t="s">
        <v>144</v>
      </c>
      <c r="J4" s="265" t="s">
        <v>145</v>
      </c>
      <c r="K4" s="265" t="s">
        <v>6</v>
      </c>
      <c r="L4" s="265" t="s">
        <v>146</v>
      </c>
    </row>
    <row r="5" spans="1:13" ht="12">
      <c r="A5" s="237"/>
      <c r="B5" s="239"/>
      <c r="C5" s="212"/>
      <c r="D5" s="212"/>
      <c r="E5" s="212"/>
      <c r="F5" s="212"/>
      <c r="G5" s="212"/>
      <c r="H5" s="212"/>
      <c r="I5" s="239"/>
      <c r="J5" s="212"/>
      <c r="K5" s="212"/>
      <c r="L5" s="212"/>
      <c r="M5" s="239"/>
    </row>
    <row r="6" spans="1:13" ht="12">
      <c r="A6" s="225"/>
      <c r="B6" s="225"/>
      <c r="C6" s="212"/>
      <c r="D6" s="212"/>
      <c r="E6" s="212"/>
      <c r="F6" s="239"/>
      <c r="G6" s="225"/>
      <c r="H6" s="212"/>
      <c r="I6" s="225"/>
      <c r="J6" s="212"/>
      <c r="K6" s="212"/>
      <c r="L6" s="212"/>
      <c r="M6" s="239"/>
    </row>
    <row r="7" spans="1:13" s="131" customFormat="1" ht="12">
      <c r="A7" s="241"/>
      <c r="B7" s="242"/>
      <c r="C7" s="213"/>
      <c r="D7" s="242"/>
      <c r="E7" s="213"/>
      <c r="F7" s="242"/>
      <c r="G7" s="242"/>
      <c r="H7" s="241"/>
      <c r="I7" s="242"/>
      <c r="J7" s="213"/>
      <c r="K7" s="213"/>
      <c r="L7" s="213"/>
      <c r="M7" s="242"/>
    </row>
    <row r="8" spans="2:15" s="135" customFormat="1" ht="12">
      <c r="B8" s="214"/>
      <c r="C8" s="214"/>
      <c r="E8" s="214"/>
      <c r="F8" s="214" t="s">
        <v>54</v>
      </c>
      <c r="G8" s="214"/>
      <c r="H8" s="214"/>
      <c r="I8" s="214"/>
      <c r="J8" s="218"/>
      <c r="L8" s="214"/>
      <c r="M8" s="214"/>
      <c r="O8" s="139"/>
    </row>
    <row r="9" spans="1:58" s="250" customFormat="1" ht="12">
      <c r="A9" s="244" t="s">
        <v>104</v>
      </c>
      <c r="B9" s="215"/>
      <c r="C9" s="215"/>
      <c r="D9" s="169"/>
      <c r="E9" s="169"/>
      <c r="F9" s="169"/>
      <c r="G9" s="169"/>
      <c r="H9" s="215"/>
      <c r="I9" s="169"/>
      <c r="J9" s="169"/>
      <c r="K9" s="215"/>
      <c r="L9" s="169"/>
      <c r="M9" s="172"/>
      <c r="N9" s="164"/>
      <c r="O9" s="139"/>
      <c r="P9" s="150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</row>
    <row r="10" spans="1:58" ht="13.5" customHeight="1">
      <c r="A10" s="245" t="s">
        <v>105</v>
      </c>
      <c r="B10" s="215">
        <f aca="true" t="shared" si="0" ref="B10:L10">+B31+B52</f>
        <v>0</v>
      </c>
      <c r="C10" s="215">
        <f t="shared" si="0"/>
        <v>0</v>
      </c>
      <c r="D10" s="215">
        <f t="shared" si="0"/>
        <v>2</v>
      </c>
      <c r="E10" s="215">
        <f t="shared" si="0"/>
        <v>0</v>
      </c>
      <c r="F10" s="215">
        <f t="shared" si="0"/>
        <v>0</v>
      </c>
      <c r="G10" s="215">
        <f t="shared" si="0"/>
        <v>0</v>
      </c>
      <c r="H10" s="215">
        <f t="shared" si="0"/>
        <v>0</v>
      </c>
      <c r="I10" s="215">
        <f t="shared" si="0"/>
        <v>0</v>
      </c>
      <c r="J10" s="215">
        <f t="shared" si="0"/>
        <v>0</v>
      </c>
      <c r="K10" s="215">
        <f t="shared" si="0"/>
        <v>0</v>
      </c>
      <c r="L10" s="215">
        <f t="shared" si="0"/>
        <v>0</v>
      </c>
      <c r="M10" s="172">
        <f>SUM(B10:L10)</f>
        <v>2</v>
      </c>
      <c r="N10" s="167"/>
      <c r="O10" s="139"/>
      <c r="P10" s="167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</row>
    <row r="11" spans="1:30" ht="12">
      <c r="A11" s="245" t="s">
        <v>115</v>
      </c>
      <c r="B11" s="215">
        <f aca="true" t="shared" si="1" ref="B11:L11">+B32+B53</f>
        <v>27</v>
      </c>
      <c r="C11" s="215">
        <f t="shared" si="1"/>
        <v>54</v>
      </c>
      <c r="D11" s="215">
        <f t="shared" si="1"/>
        <v>26</v>
      </c>
      <c r="E11" s="215">
        <f t="shared" si="1"/>
        <v>234</v>
      </c>
      <c r="F11" s="215">
        <f t="shared" si="1"/>
        <v>137</v>
      </c>
      <c r="G11" s="215">
        <f t="shared" si="1"/>
        <v>227</v>
      </c>
      <c r="H11" s="215">
        <f t="shared" si="1"/>
        <v>40</v>
      </c>
      <c r="I11" s="215">
        <f t="shared" si="1"/>
        <v>57</v>
      </c>
      <c r="J11" s="215">
        <f t="shared" si="1"/>
        <v>62</v>
      </c>
      <c r="K11" s="215">
        <f t="shared" si="1"/>
        <v>46</v>
      </c>
      <c r="L11" s="215">
        <f t="shared" si="1"/>
        <v>82</v>
      </c>
      <c r="M11" s="172">
        <f>SUM(B11:L11)</f>
        <v>992</v>
      </c>
      <c r="N11" s="167"/>
      <c r="O11" s="139"/>
      <c r="P11" s="167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</row>
    <row r="12" spans="1:58" ht="12">
      <c r="A12" s="245" t="s">
        <v>107</v>
      </c>
      <c r="B12" s="215">
        <f aca="true" t="shared" si="2" ref="B12:L12">+B33+B54</f>
        <v>27</v>
      </c>
      <c r="C12" s="215">
        <f t="shared" si="2"/>
        <v>54</v>
      </c>
      <c r="D12" s="215">
        <f t="shared" si="2"/>
        <v>28</v>
      </c>
      <c r="E12" s="215">
        <f t="shared" si="2"/>
        <v>234</v>
      </c>
      <c r="F12" s="215">
        <f t="shared" si="2"/>
        <v>137</v>
      </c>
      <c r="G12" s="215">
        <f t="shared" si="2"/>
        <v>227</v>
      </c>
      <c r="H12" s="215">
        <f t="shared" si="2"/>
        <v>40</v>
      </c>
      <c r="I12" s="215">
        <f t="shared" si="2"/>
        <v>57</v>
      </c>
      <c r="J12" s="215">
        <f t="shared" si="2"/>
        <v>62</v>
      </c>
      <c r="K12" s="215">
        <f t="shared" si="2"/>
        <v>46</v>
      </c>
      <c r="L12" s="215">
        <f t="shared" si="2"/>
        <v>82</v>
      </c>
      <c r="M12" s="217">
        <f>+M10+M11</f>
        <v>994</v>
      </c>
      <c r="N12" s="158"/>
      <c r="O12" s="139"/>
      <c r="P12" s="150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</row>
    <row r="13" spans="1:30" ht="12">
      <c r="A13" s="244" t="s">
        <v>151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72"/>
      <c r="N13" s="171"/>
      <c r="O13" s="139"/>
      <c r="P13" s="171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</row>
    <row r="14" spans="1:30" ht="12">
      <c r="A14" s="245" t="s">
        <v>105</v>
      </c>
      <c r="B14" s="215">
        <f aca="true" t="shared" si="3" ref="B14:L14">+B35+B56</f>
        <v>1623</v>
      </c>
      <c r="C14" s="215">
        <f t="shared" si="3"/>
        <v>4876</v>
      </c>
      <c r="D14" s="215">
        <f t="shared" si="3"/>
        <v>1435</v>
      </c>
      <c r="E14" s="215">
        <f t="shared" si="3"/>
        <v>971</v>
      </c>
      <c r="F14" s="215">
        <f t="shared" si="3"/>
        <v>5712</v>
      </c>
      <c r="G14" s="215">
        <f t="shared" si="3"/>
        <v>8812</v>
      </c>
      <c r="H14" s="215">
        <f t="shared" si="3"/>
        <v>2074</v>
      </c>
      <c r="I14" s="215">
        <f t="shared" si="3"/>
        <v>2259</v>
      </c>
      <c r="J14" s="215">
        <f t="shared" si="3"/>
        <v>2640</v>
      </c>
      <c r="K14" s="215">
        <f t="shared" si="3"/>
        <v>4075</v>
      </c>
      <c r="L14" s="215">
        <f t="shared" si="3"/>
        <v>3860</v>
      </c>
      <c r="M14" s="172">
        <f>SUM(B14:L14)</f>
        <v>38337</v>
      </c>
      <c r="N14" s="150"/>
      <c r="O14" s="139"/>
      <c r="P14" s="150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</row>
    <row r="15" spans="1:30" ht="12">
      <c r="A15" s="245" t="s">
        <v>115</v>
      </c>
      <c r="B15" s="215">
        <f aca="true" t="shared" si="4" ref="B15:L15">+B36+B57</f>
        <v>540</v>
      </c>
      <c r="C15" s="215">
        <f t="shared" si="4"/>
        <v>898</v>
      </c>
      <c r="D15" s="215">
        <f t="shared" si="4"/>
        <v>255</v>
      </c>
      <c r="E15" s="215">
        <f t="shared" si="4"/>
        <v>359</v>
      </c>
      <c r="F15" s="215">
        <f t="shared" si="4"/>
        <v>1866</v>
      </c>
      <c r="G15" s="215">
        <f t="shared" si="4"/>
        <v>2238</v>
      </c>
      <c r="H15" s="215">
        <f t="shared" si="4"/>
        <v>447</v>
      </c>
      <c r="I15" s="215">
        <f t="shared" si="4"/>
        <v>249</v>
      </c>
      <c r="J15" s="215">
        <f t="shared" si="4"/>
        <v>576</v>
      </c>
      <c r="K15" s="215">
        <f t="shared" si="4"/>
        <v>1083</v>
      </c>
      <c r="L15" s="215">
        <f t="shared" si="4"/>
        <v>687</v>
      </c>
      <c r="M15" s="172">
        <f>SUM(B15:L15)</f>
        <v>9198</v>
      </c>
      <c r="N15" s="164"/>
      <c r="O15" s="161"/>
      <c r="P15" s="164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</row>
    <row r="16" spans="1:58" ht="12">
      <c r="A16" s="245" t="s">
        <v>107</v>
      </c>
      <c r="B16" s="215">
        <f aca="true" t="shared" si="5" ref="B16:L16">+B37+B58</f>
        <v>2163</v>
      </c>
      <c r="C16" s="215">
        <f t="shared" si="5"/>
        <v>5774</v>
      </c>
      <c r="D16" s="215">
        <f t="shared" si="5"/>
        <v>1690</v>
      </c>
      <c r="E16" s="215">
        <f t="shared" si="5"/>
        <v>1330</v>
      </c>
      <c r="F16" s="215">
        <f t="shared" si="5"/>
        <v>7578</v>
      </c>
      <c r="G16" s="215">
        <f t="shared" si="5"/>
        <v>11050</v>
      </c>
      <c r="H16" s="215">
        <f t="shared" si="5"/>
        <v>2521</v>
      </c>
      <c r="I16" s="215">
        <f t="shared" si="5"/>
        <v>2508</v>
      </c>
      <c r="J16" s="215">
        <f t="shared" si="5"/>
        <v>3216</v>
      </c>
      <c r="K16" s="215">
        <f t="shared" si="5"/>
        <v>5158</v>
      </c>
      <c r="L16" s="215">
        <f t="shared" si="5"/>
        <v>4547</v>
      </c>
      <c r="M16" s="217">
        <f>+M14+M15</f>
        <v>47535</v>
      </c>
      <c r="N16" s="158"/>
      <c r="O16" s="150"/>
      <c r="P16" s="150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</row>
    <row r="17" spans="1:30" ht="12">
      <c r="A17" s="244" t="s">
        <v>152</v>
      </c>
      <c r="B17" s="169"/>
      <c r="C17" s="215"/>
      <c r="D17" s="215"/>
      <c r="E17" s="215"/>
      <c r="F17" s="169"/>
      <c r="G17" s="169"/>
      <c r="H17" s="169"/>
      <c r="I17" s="169"/>
      <c r="J17" s="172"/>
      <c r="K17" s="215"/>
      <c r="L17" s="172"/>
      <c r="M17" s="172"/>
      <c r="N17" s="163"/>
      <c r="O17" s="163"/>
      <c r="P17" s="163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</row>
    <row r="18" spans="1:30" ht="12">
      <c r="A18" s="245" t="s">
        <v>105</v>
      </c>
      <c r="B18" s="215">
        <f aca="true" t="shared" si="6" ref="B18:L18">+B39+B60</f>
        <v>738</v>
      </c>
      <c r="C18" s="215">
        <f t="shared" si="6"/>
        <v>2520</v>
      </c>
      <c r="D18" s="215">
        <f t="shared" si="6"/>
        <v>757</v>
      </c>
      <c r="E18" s="215">
        <f t="shared" si="6"/>
        <v>0</v>
      </c>
      <c r="F18" s="215">
        <f t="shared" si="6"/>
        <v>3088</v>
      </c>
      <c r="G18" s="215">
        <f t="shared" si="6"/>
        <v>3650</v>
      </c>
      <c r="H18" s="215">
        <f t="shared" si="6"/>
        <v>1167</v>
      </c>
      <c r="I18" s="215">
        <f t="shared" si="6"/>
        <v>147</v>
      </c>
      <c r="J18" s="215">
        <f t="shared" si="6"/>
        <v>1136</v>
      </c>
      <c r="K18" s="215">
        <f t="shared" si="6"/>
        <v>1447</v>
      </c>
      <c r="L18" s="215">
        <f t="shared" si="6"/>
        <v>1725</v>
      </c>
      <c r="M18" s="172">
        <f>SUM(B18:L18)</f>
        <v>16375</v>
      </c>
      <c r="N18" s="177"/>
      <c r="O18" s="177"/>
      <c r="P18" s="177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</row>
    <row r="19" spans="1:30" ht="12">
      <c r="A19" s="245" t="s">
        <v>115</v>
      </c>
      <c r="B19" s="215">
        <f aca="true" t="shared" si="7" ref="B19:L19">+B40+B61</f>
        <v>127</v>
      </c>
      <c r="C19" s="215">
        <f t="shared" si="7"/>
        <v>378</v>
      </c>
      <c r="D19" s="215">
        <f t="shared" si="7"/>
        <v>92</v>
      </c>
      <c r="E19" s="215">
        <f t="shared" si="7"/>
        <v>5</v>
      </c>
      <c r="F19" s="215">
        <f t="shared" si="7"/>
        <v>905</v>
      </c>
      <c r="G19" s="215">
        <f t="shared" si="7"/>
        <v>1200</v>
      </c>
      <c r="H19" s="215">
        <f t="shared" si="7"/>
        <v>216</v>
      </c>
      <c r="I19" s="215">
        <f t="shared" si="7"/>
        <v>22</v>
      </c>
      <c r="J19" s="215">
        <f t="shared" si="7"/>
        <v>358</v>
      </c>
      <c r="K19" s="215">
        <f t="shared" si="7"/>
        <v>281</v>
      </c>
      <c r="L19" s="215">
        <f t="shared" si="7"/>
        <v>394</v>
      </c>
      <c r="M19" s="172">
        <f>SUM(B19:L19)</f>
        <v>3978</v>
      </c>
      <c r="N19" s="150"/>
      <c r="O19" s="150"/>
      <c r="P19" s="150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</row>
    <row r="20" spans="1:58" ht="12">
      <c r="A20" s="245" t="s">
        <v>107</v>
      </c>
      <c r="B20" s="215">
        <f aca="true" t="shared" si="8" ref="B20:L20">+B41+B62</f>
        <v>865</v>
      </c>
      <c r="C20" s="215">
        <f t="shared" si="8"/>
        <v>2898</v>
      </c>
      <c r="D20" s="215">
        <f t="shared" si="8"/>
        <v>849</v>
      </c>
      <c r="E20" s="215">
        <f t="shared" si="8"/>
        <v>5</v>
      </c>
      <c r="F20" s="215">
        <f t="shared" si="8"/>
        <v>3993</v>
      </c>
      <c r="G20" s="215">
        <f t="shared" si="8"/>
        <v>4850</v>
      </c>
      <c r="H20" s="215">
        <f t="shared" si="8"/>
        <v>1383</v>
      </c>
      <c r="I20" s="215">
        <f t="shared" si="8"/>
        <v>169</v>
      </c>
      <c r="J20" s="215">
        <f t="shared" si="8"/>
        <v>1494</v>
      </c>
      <c r="K20" s="215">
        <f t="shared" si="8"/>
        <v>1728</v>
      </c>
      <c r="L20" s="215">
        <f t="shared" si="8"/>
        <v>2119</v>
      </c>
      <c r="M20" s="217">
        <f>+M18+M19</f>
        <v>20353</v>
      </c>
      <c r="N20" s="158"/>
      <c r="O20" s="150"/>
      <c r="P20" s="150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</row>
    <row r="21" spans="1:30" ht="12">
      <c r="A21" s="244" t="s">
        <v>153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72"/>
      <c r="N21" s="150"/>
      <c r="O21" s="150"/>
      <c r="P21" s="150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</row>
    <row r="22" spans="1:16" ht="12">
      <c r="A22" s="245" t="s">
        <v>105</v>
      </c>
      <c r="B22" s="215">
        <f aca="true" t="shared" si="9" ref="B22:M22">B43+B64</f>
        <v>388</v>
      </c>
      <c r="C22" s="215">
        <f t="shared" si="9"/>
        <v>0</v>
      </c>
      <c r="D22" s="215">
        <f t="shared" si="9"/>
        <v>1547</v>
      </c>
      <c r="E22" s="215">
        <f t="shared" si="9"/>
        <v>4985</v>
      </c>
      <c r="F22" s="215">
        <f t="shared" si="9"/>
        <v>819</v>
      </c>
      <c r="G22" s="215">
        <f t="shared" si="9"/>
        <v>46</v>
      </c>
      <c r="H22" s="215">
        <f t="shared" si="9"/>
        <v>0</v>
      </c>
      <c r="I22" s="215">
        <f t="shared" si="9"/>
        <v>2737</v>
      </c>
      <c r="J22" s="215">
        <f t="shared" si="9"/>
        <v>1268</v>
      </c>
      <c r="K22" s="215">
        <f t="shared" si="9"/>
        <v>0</v>
      </c>
      <c r="L22" s="215">
        <f t="shared" si="9"/>
        <v>0</v>
      </c>
      <c r="M22" s="215">
        <f t="shared" si="9"/>
        <v>11790</v>
      </c>
      <c r="N22" s="181"/>
      <c r="O22" s="181"/>
      <c r="P22" s="181"/>
    </row>
    <row r="23" spans="1:16" ht="12">
      <c r="A23" s="245" t="s">
        <v>115</v>
      </c>
      <c r="B23" s="215">
        <f aca="true" t="shared" si="10" ref="B23:M23">B44+B65</f>
        <v>197</v>
      </c>
      <c r="C23" s="215">
        <f t="shared" si="10"/>
        <v>0</v>
      </c>
      <c r="D23" s="215">
        <f t="shared" si="10"/>
        <v>380</v>
      </c>
      <c r="E23" s="215">
        <f t="shared" si="10"/>
        <v>1584</v>
      </c>
      <c r="F23" s="215">
        <f t="shared" si="10"/>
        <v>317</v>
      </c>
      <c r="G23" s="215">
        <f t="shared" si="10"/>
        <v>2</v>
      </c>
      <c r="H23" s="215">
        <f t="shared" si="10"/>
        <v>0</v>
      </c>
      <c r="I23" s="215">
        <f t="shared" si="10"/>
        <v>528</v>
      </c>
      <c r="J23" s="215">
        <f t="shared" si="10"/>
        <v>366</v>
      </c>
      <c r="K23" s="215">
        <f t="shared" si="10"/>
        <v>0</v>
      </c>
      <c r="L23" s="215">
        <f t="shared" si="10"/>
        <v>0</v>
      </c>
      <c r="M23" s="215">
        <f t="shared" si="10"/>
        <v>3374</v>
      </c>
      <c r="N23" s="181"/>
      <c r="O23" s="181"/>
      <c r="P23" s="181"/>
    </row>
    <row r="24" spans="1:58" ht="12">
      <c r="A24" s="245" t="s">
        <v>107</v>
      </c>
      <c r="B24" s="215">
        <f>B22+B23</f>
        <v>585</v>
      </c>
      <c r="C24" s="215">
        <f aca="true" t="shared" si="11" ref="C24:L24">C22+C23</f>
        <v>0</v>
      </c>
      <c r="D24" s="215">
        <f t="shared" si="11"/>
        <v>1927</v>
      </c>
      <c r="E24" s="215">
        <f t="shared" si="11"/>
        <v>6569</v>
      </c>
      <c r="F24" s="215">
        <f t="shared" si="11"/>
        <v>1136</v>
      </c>
      <c r="G24" s="215">
        <f t="shared" si="11"/>
        <v>48</v>
      </c>
      <c r="H24" s="215">
        <f t="shared" si="11"/>
        <v>0</v>
      </c>
      <c r="I24" s="215">
        <f t="shared" si="11"/>
        <v>3265</v>
      </c>
      <c r="J24" s="215">
        <f t="shared" si="11"/>
        <v>1634</v>
      </c>
      <c r="K24" s="215">
        <f t="shared" si="11"/>
        <v>0</v>
      </c>
      <c r="L24" s="215">
        <f t="shared" si="11"/>
        <v>0</v>
      </c>
      <c r="M24" s="217">
        <f>+M22+M23</f>
        <v>15164</v>
      </c>
      <c r="N24" s="158"/>
      <c r="O24" s="150"/>
      <c r="P24" s="150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</row>
    <row r="25" spans="1:13" s="135" customFormat="1" ht="12">
      <c r="A25" s="244" t="s">
        <v>112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51"/>
    </row>
    <row r="26" spans="1:58" s="120" customFormat="1" ht="12">
      <c r="A26" s="245" t="s">
        <v>105</v>
      </c>
      <c r="B26" s="223">
        <f>+B22+B18+B14+B10</f>
        <v>2749</v>
      </c>
      <c r="C26" s="223">
        <f aca="true" t="shared" si="12" ref="C26:M26">+C22+C18+C14+C10</f>
        <v>7396</v>
      </c>
      <c r="D26" s="223">
        <f t="shared" si="12"/>
        <v>3741</v>
      </c>
      <c r="E26" s="223">
        <f t="shared" si="12"/>
        <v>5956</v>
      </c>
      <c r="F26" s="223">
        <f t="shared" si="12"/>
        <v>9619</v>
      </c>
      <c r="G26" s="223">
        <f t="shared" si="12"/>
        <v>12508</v>
      </c>
      <c r="H26" s="223">
        <f t="shared" si="12"/>
        <v>3241</v>
      </c>
      <c r="I26" s="223">
        <f t="shared" si="12"/>
        <v>5143</v>
      </c>
      <c r="J26" s="223">
        <f t="shared" si="12"/>
        <v>5044</v>
      </c>
      <c r="K26" s="223">
        <f t="shared" si="12"/>
        <v>5522</v>
      </c>
      <c r="L26" s="223">
        <f t="shared" si="12"/>
        <v>5585</v>
      </c>
      <c r="M26" s="223">
        <f t="shared" si="12"/>
        <v>66504</v>
      </c>
      <c r="N26" s="150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</row>
    <row r="27" spans="1:58" ht="12">
      <c r="A27" s="245" t="s">
        <v>115</v>
      </c>
      <c r="B27" s="223">
        <f>+B23+B19+B15+B11</f>
        <v>891</v>
      </c>
      <c r="C27" s="223">
        <f aca="true" t="shared" si="13" ref="C27:M27">+C23+C19+C15+C11</f>
        <v>1330</v>
      </c>
      <c r="D27" s="223">
        <f t="shared" si="13"/>
        <v>753</v>
      </c>
      <c r="E27" s="223">
        <f t="shared" si="13"/>
        <v>2182</v>
      </c>
      <c r="F27" s="223">
        <f t="shared" si="13"/>
        <v>3225</v>
      </c>
      <c r="G27" s="223">
        <f t="shared" si="13"/>
        <v>3667</v>
      </c>
      <c r="H27" s="223">
        <f t="shared" si="13"/>
        <v>703</v>
      </c>
      <c r="I27" s="223">
        <f t="shared" si="13"/>
        <v>856</v>
      </c>
      <c r="J27" s="223">
        <f t="shared" si="13"/>
        <v>1362</v>
      </c>
      <c r="K27" s="223">
        <f t="shared" si="13"/>
        <v>1410</v>
      </c>
      <c r="L27" s="223">
        <f t="shared" si="13"/>
        <v>1163</v>
      </c>
      <c r="M27" s="223">
        <f t="shared" si="13"/>
        <v>17542</v>
      </c>
      <c r="N27" s="150"/>
      <c r="O27" s="150"/>
      <c r="P27" s="150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</row>
    <row r="28" spans="1:58" ht="12">
      <c r="A28" s="245" t="s">
        <v>107</v>
      </c>
      <c r="B28" s="217">
        <f aca="true" t="shared" si="14" ref="B28:L28">+B26+B27</f>
        <v>3640</v>
      </c>
      <c r="C28" s="217">
        <f t="shared" si="14"/>
        <v>8726</v>
      </c>
      <c r="D28" s="217">
        <f t="shared" si="14"/>
        <v>4494</v>
      </c>
      <c r="E28" s="217">
        <f t="shared" si="14"/>
        <v>8138</v>
      </c>
      <c r="F28" s="217">
        <f t="shared" si="14"/>
        <v>12844</v>
      </c>
      <c r="G28" s="217">
        <f t="shared" si="14"/>
        <v>16175</v>
      </c>
      <c r="H28" s="217">
        <f t="shared" si="14"/>
        <v>3944</v>
      </c>
      <c r="I28" s="217">
        <f t="shared" si="14"/>
        <v>5999</v>
      </c>
      <c r="J28" s="217">
        <f t="shared" si="14"/>
        <v>6406</v>
      </c>
      <c r="K28" s="217">
        <f t="shared" si="14"/>
        <v>6932</v>
      </c>
      <c r="L28" s="217">
        <f t="shared" si="14"/>
        <v>6748</v>
      </c>
      <c r="M28" s="217">
        <f>+M26+M27</f>
        <v>84046</v>
      </c>
      <c r="N28" s="150"/>
      <c r="O28" s="150"/>
      <c r="P28" s="150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</row>
    <row r="29" spans="1:58" ht="12">
      <c r="A29" s="135"/>
      <c r="B29" s="218"/>
      <c r="C29" s="218"/>
      <c r="D29" s="196"/>
      <c r="E29" s="218"/>
      <c r="F29" s="218" t="s">
        <v>114</v>
      </c>
      <c r="G29" s="218"/>
      <c r="H29" s="218"/>
      <c r="I29" s="218"/>
      <c r="J29" s="218"/>
      <c r="K29" s="196"/>
      <c r="L29" s="218"/>
      <c r="M29" s="218"/>
      <c r="N29" s="158"/>
      <c r="O29" s="150"/>
      <c r="P29" s="150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6"/>
      <c r="AU29" s="246"/>
      <c r="AV29" s="246"/>
      <c r="AW29" s="246"/>
      <c r="AX29" s="246"/>
      <c r="AY29" s="246"/>
      <c r="AZ29" s="246"/>
      <c r="BA29" s="246"/>
      <c r="BB29" s="246"/>
      <c r="BC29" s="246"/>
      <c r="BD29" s="246"/>
      <c r="BE29" s="246"/>
      <c r="BF29" s="246"/>
    </row>
    <row r="30" spans="1:58" s="250" customFormat="1" ht="12">
      <c r="A30" s="244" t="s">
        <v>104</v>
      </c>
      <c r="B30" s="215"/>
      <c r="C30" s="215"/>
      <c r="D30" s="169"/>
      <c r="E30" s="169"/>
      <c r="F30" s="169"/>
      <c r="G30" s="169"/>
      <c r="H30" s="215"/>
      <c r="I30" s="169"/>
      <c r="J30" s="169"/>
      <c r="K30" s="215"/>
      <c r="L30" s="169"/>
      <c r="M30" s="172"/>
      <c r="N30" s="164"/>
      <c r="O30" s="150"/>
      <c r="P30" s="150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249"/>
      <c r="AZ30" s="249"/>
      <c r="BA30" s="249"/>
      <c r="BB30" s="249"/>
      <c r="BC30" s="249"/>
      <c r="BD30" s="249"/>
      <c r="BE30" s="249"/>
      <c r="BF30" s="249"/>
    </row>
    <row r="31" spans="1:58" ht="13.5" customHeight="1">
      <c r="A31" s="245" t="s">
        <v>105</v>
      </c>
      <c r="B31" s="215">
        <v>0</v>
      </c>
      <c r="C31" s="215">
        <v>0</v>
      </c>
      <c r="D31" s="169">
        <v>1</v>
      </c>
      <c r="E31" s="169">
        <v>0</v>
      </c>
      <c r="F31" s="169">
        <v>0</v>
      </c>
      <c r="G31" s="169">
        <v>0</v>
      </c>
      <c r="H31" s="215">
        <v>0</v>
      </c>
      <c r="I31" s="215">
        <v>0</v>
      </c>
      <c r="J31" s="169">
        <v>0</v>
      </c>
      <c r="K31" s="169">
        <v>0</v>
      </c>
      <c r="L31" s="169">
        <v>0</v>
      </c>
      <c r="M31" s="172">
        <f>SUM(B31:L31)</f>
        <v>1</v>
      </c>
      <c r="N31" s="215"/>
      <c r="O31" s="169"/>
      <c r="P31" s="169"/>
      <c r="Q31" s="215"/>
      <c r="R31" s="169"/>
      <c r="S31" s="172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</row>
    <row r="32" spans="1:30" ht="12">
      <c r="A32" s="245" t="s">
        <v>115</v>
      </c>
      <c r="B32" s="37">
        <v>15</v>
      </c>
      <c r="C32" s="37">
        <v>26</v>
      </c>
      <c r="D32" s="37">
        <v>6</v>
      </c>
      <c r="E32" s="37">
        <v>84</v>
      </c>
      <c r="F32" s="37">
        <v>111</v>
      </c>
      <c r="G32" s="37">
        <v>85</v>
      </c>
      <c r="H32" s="37">
        <v>1</v>
      </c>
      <c r="I32" s="37">
        <v>36</v>
      </c>
      <c r="J32" s="37">
        <v>9</v>
      </c>
      <c r="K32" s="37">
        <v>22</v>
      </c>
      <c r="L32" s="37">
        <v>25</v>
      </c>
      <c r="M32" s="172">
        <f>SUM(B32:L32)</f>
        <v>420</v>
      </c>
      <c r="N32" s="37"/>
      <c r="O32" s="37"/>
      <c r="P32" s="37"/>
      <c r="Q32" s="37"/>
      <c r="R32" s="37"/>
      <c r="S32" s="172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</row>
    <row r="33" spans="1:58" ht="12">
      <c r="A33" s="245" t="s">
        <v>107</v>
      </c>
      <c r="B33" s="217">
        <f aca="true" t="shared" si="15" ref="B33:M33">+B31+B32</f>
        <v>15</v>
      </c>
      <c r="C33" s="217">
        <f t="shared" si="15"/>
        <v>26</v>
      </c>
      <c r="D33" s="217">
        <f t="shared" si="15"/>
        <v>7</v>
      </c>
      <c r="E33" s="217">
        <f t="shared" si="15"/>
        <v>84</v>
      </c>
      <c r="F33" s="217">
        <f t="shared" si="15"/>
        <v>111</v>
      </c>
      <c r="G33" s="217">
        <f t="shared" si="15"/>
        <v>85</v>
      </c>
      <c r="H33" s="217">
        <f t="shared" si="15"/>
        <v>1</v>
      </c>
      <c r="I33" s="217">
        <f t="shared" si="15"/>
        <v>36</v>
      </c>
      <c r="J33" s="217">
        <f t="shared" si="15"/>
        <v>9</v>
      </c>
      <c r="K33" s="217">
        <f t="shared" si="15"/>
        <v>22</v>
      </c>
      <c r="L33" s="217">
        <f t="shared" si="15"/>
        <v>25</v>
      </c>
      <c r="M33" s="217">
        <f t="shared" si="15"/>
        <v>421</v>
      </c>
      <c r="N33" s="158"/>
      <c r="O33" s="150"/>
      <c r="P33" s="150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</row>
    <row r="34" spans="1:30" ht="12">
      <c r="A34" s="244" t="s">
        <v>151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72"/>
      <c r="N34" s="171"/>
      <c r="O34" s="171"/>
      <c r="P34" s="171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</row>
    <row r="35" spans="1:30" ht="12">
      <c r="A35" s="245" t="s">
        <v>105</v>
      </c>
      <c r="B35" s="223">
        <v>972</v>
      </c>
      <c r="C35" s="223">
        <v>2702</v>
      </c>
      <c r="D35" s="37">
        <v>812</v>
      </c>
      <c r="E35" s="37">
        <v>332</v>
      </c>
      <c r="F35" s="223">
        <v>4234</v>
      </c>
      <c r="G35" s="223">
        <v>3156</v>
      </c>
      <c r="H35" s="37">
        <v>427</v>
      </c>
      <c r="I35" s="37">
        <v>527</v>
      </c>
      <c r="J35" s="37">
        <v>424</v>
      </c>
      <c r="K35" s="223">
        <v>2562</v>
      </c>
      <c r="L35" s="223">
        <v>1323</v>
      </c>
      <c r="M35" s="172">
        <f>SUM(B35:L35)</f>
        <v>17471</v>
      </c>
      <c r="N35" s="150"/>
      <c r="O35" s="150"/>
      <c r="P35" s="150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</row>
    <row r="36" spans="1:30" ht="12">
      <c r="A36" s="245" t="s">
        <v>115</v>
      </c>
      <c r="B36" s="37">
        <v>355</v>
      </c>
      <c r="C36" s="37">
        <v>512</v>
      </c>
      <c r="D36" s="37">
        <v>135</v>
      </c>
      <c r="E36" s="37">
        <v>150</v>
      </c>
      <c r="F36" s="37">
        <v>1474</v>
      </c>
      <c r="G36" s="37">
        <v>853</v>
      </c>
      <c r="H36" s="37">
        <v>104</v>
      </c>
      <c r="I36" s="37">
        <v>109</v>
      </c>
      <c r="J36" s="37">
        <v>103</v>
      </c>
      <c r="K36" s="37">
        <v>767</v>
      </c>
      <c r="L36" s="37">
        <v>304</v>
      </c>
      <c r="M36" s="172">
        <f>SUM(B36:L36)</f>
        <v>4866</v>
      </c>
      <c r="N36" s="164"/>
      <c r="O36" s="164"/>
      <c r="P36" s="164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</row>
    <row r="37" spans="1:58" ht="12">
      <c r="A37" s="245" t="s">
        <v>107</v>
      </c>
      <c r="B37" s="217">
        <f aca="true" t="shared" si="16" ref="B37:M37">+B35+B36</f>
        <v>1327</v>
      </c>
      <c r="C37" s="217">
        <f>+C35+C36</f>
        <v>3214</v>
      </c>
      <c r="D37" s="217">
        <f t="shared" si="16"/>
        <v>947</v>
      </c>
      <c r="E37" s="217">
        <f t="shared" si="16"/>
        <v>482</v>
      </c>
      <c r="F37" s="217">
        <f t="shared" si="16"/>
        <v>5708</v>
      </c>
      <c r="G37" s="217">
        <f t="shared" si="16"/>
        <v>4009</v>
      </c>
      <c r="H37" s="217">
        <f t="shared" si="16"/>
        <v>531</v>
      </c>
      <c r="I37" s="217">
        <f t="shared" si="16"/>
        <v>636</v>
      </c>
      <c r="J37" s="217">
        <f t="shared" si="16"/>
        <v>527</v>
      </c>
      <c r="K37" s="217">
        <f t="shared" si="16"/>
        <v>3329</v>
      </c>
      <c r="L37" s="217">
        <f t="shared" si="16"/>
        <v>1627</v>
      </c>
      <c r="M37" s="217">
        <f t="shared" si="16"/>
        <v>22337</v>
      </c>
      <c r="N37" s="158"/>
      <c r="O37" s="150"/>
      <c r="P37" s="150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  <c r="BC37" s="246"/>
      <c r="BD37" s="246"/>
      <c r="BE37" s="246"/>
      <c r="BF37" s="246"/>
    </row>
    <row r="38" spans="1:58" ht="12">
      <c r="A38" s="244" t="s">
        <v>152</v>
      </c>
      <c r="B38" s="169"/>
      <c r="C38" s="215"/>
      <c r="D38" s="215"/>
      <c r="E38" s="215"/>
      <c r="F38" s="169"/>
      <c r="G38" s="169"/>
      <c r="H38" s="169"/>
      <c r="I38" s="169"/>
      <c r="J38" s="172"/>
      <c r="K38" s="215"/>
      <c r="L38" s="172"/>
      <c r="M38" s="172"/>
      <c r="N38" s="158"/>
      <c r="O38" s="150"/>
      <c r="P38" s="150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246"/>
      <c r="BA38" s="246"/>
      <c r="BB38" s="246"/>
      <c r="BC38" s="246"/>
      <c r="BD38" s="246"/>
      <c r="BE38" s="246"/>
      <c r="BF38" s="246"/>
    </row>
    <row r="39" spans="1:58" ht="12">
      <c r="A39" s="245" t="s">
        <v>105</v>
      </c>
      <c r="B39" s="37">
        <v>413</v>
      </c>
      <c r="C39" s="37">
        <v>1328</v>
      </c>
      <c r="D39" s="37">
        <v>428</v>
      </c>
      <c r="E39" s="37">
        <v>0</v>
      </c>
      <c r="F39" s="223">
        <v>2253</v>
      </c>
      <c r="G39" s="37">
        <v>1275</v>
      </c>
      <c r="H39" s="37">
        <v>180</v>
      </c>
      <c r="I39" s="37">
        <v>41</v>
      </c>
      <c r="J39" s="37">
        <v>176</v>
      </c>
      <c r="K39" s="37">
        <v>833</v>
      </c>
      <c r="L39" s="37">
        <v>558</v>
      </c>
      <c r="M39" s="172">
        <f>SUM(B39:L39)</f>
        <v>7485</v>
      </c>
      <c r="N39" s="158"/>
      <c r="O39" s="150"/>
      <c r="P39" s="150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  <c r="BA39" s="246"/>
      <c r="BB39" s="246"/>
      <c r="BC39" s="246"/>
      <c r="BD39" s="246"/>
      <c r="BE39" s="246"/>
      <c r="BF39" s="246"/>
    </row>
    <row r="40" spans="1:58" ht="12">
      <c r="A40" s="245" t="s">
        <v>115</v>
      </c>
      <c r="B40" s="37">
        <v>68</v>
      </c>
      <c r="C40" s="37">
        <v>203</v>
      </c>
      <c r="D40" s="37">
        <v>43</v>
      </c>
      <c r="E40" s="37">
        <v>2</v>
      </c>
      <c r="F40" s="37">
        <v>680</v>
      </c>
      <c r="G40" s="37">
        <v>433</v>
      </c>
      <c r="H40" s="37">
        <v>43</v>
      </c>
      <c r="I40" s="37">
        <v>8</v>
      </c>
      <c r="J40" s="37">
        <v>41</v>
      </c>
      <c r="K40" s="37">
        <v>182</v>
      </c>
      <c r="L40" s="37">
        <v>159</v>
      </c>
      <c r="M40" s="172">
        <f>SUM(B40:L40)</f>
        <v>1862</v>
      </c>
      <c r="N40" s="158"/>
      <c r="O40" s="150"/>
      <c r="P40" s="150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</row>
    <row r="41" spans="1:58" ht="12">
      <c r="A41" s="245" t="s">
        <v>107</v>
      </c>
      <c r="B41" s="217">
        <f aca="true" t="shared" si="17" ref="B41:M41">+B39+B40</f>
        <v>481</v>
      </c>
      <c r="C41" s="217">
        <f t="shared" si="17"/>
        <v>1531</v>
      </c>
      <c r="D41" s="217">
        <f t="shared" si="17"/>
        <v>471</v>
      </c>
      <c r="E41" s="217">
        <f t="shared" si="17"/>
        <v>2</v>
      </c>
      <c r="F41" s="217">
        <f t="shared" si="17"/>
        <v>2933</v>
      </c>
      <c r="G41" s="217">
        <f t="shared" si="17"/>
        <v>1708</v>
      </c>
      <c r="H41" s="217">
        <f t="shared" si="17"/>
        <v>223</v>
      </c>
      <c r="I41" s="217">
        <f t="shared" si="17"/>
        <v>49</v>
      </c>
      <c r="J41" s="217">
        <f t="shared" si="17"/>
        <v>217</v>
      </c>
      <c r="K41" s="217">
        <f t="shared" si="17"/>
        <v>1015</v>
      </c>
      <c r="L41" s="217">
        <f t="shared" si="17"/>
        <v>717</v>
      </c>
      <c r="M41" s="217">
        <f t="shared" si="17"/>
        <v>9347</v>
      </c>
      <c r="N41" s="158"/>
      <c r="O41" s="150"/>
      <c r="P41" s="150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</row>
    <row r="42" spans="1:30" ht="12">
      <c r="A42" s="244" t="s">
        <v>153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72"/>
      <c r="N42" s="150"/>
      <c r="O42" s="150"/>
      <c r="P42" s="150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</row>
    <row r="43" spans="1:16" ht="12">
      <c r="A43" s="245" t="s">
        <v>105</v>
      </c>
      <c r="B43" s="37">
        <v>93</v>
      </c>
      <c r="C43" s="37"/>
      <c r="D43" s="37">
        <v>405</v>
      </c>
      <c r="E43" s="37">
        <v>1723</v>
      </c>
      <c r="F43" s="37">
        <v>345</v>
      </c>
      <c r="G43" s="37">
        <v>3</v>
      </c>
      <c r="H43" s="37"/>
      <c r="I43" s="37">
        <v>1251</v>
      </c>
      <c r="J43" s="37">
        <v>112</v>
      </c>
      <c r="K43" s="37"/>
      <c r="L43" s="37"/>
      <c r="M43" s="172">
        <f>SUM(B43:L43)</f>
        <v>3932</v>
      </c>
      <c r="N43" s="181"/>
      <c r="O43" s="181"/>
      <c r="P43" s="181"/>
    </row>
    <row r="44" spans="1:16" ht="12">
      <c r="A44" s="245" t="s">
        <v>115</v>
      </c>
      <c r="B44" s="37">
        <v>56</v>
      </c>
      <c r="C44" s="37"/>
      <c r="D44" s="37">
        <v>100</v>
      </c>
      <c r="E44" s="37">
        <v>601</v>
      </c>
      <c r="F44" s="37">
        <v>155</v>
      </c>
      <c r="G44" s="37">
        <v>1</v>
      </c>
      <c r="H44" s="37"/>
      <c r="I44" s="37">
        <v>245</v>
      </c>
      <c r="J44" s="37">
        <v>26</v>
      </c>
      <c r="K44" s="37"/>
      <c r="L44" s="37"/>
      <c r="M44" s="172">
        <f>SUM(B44:L44)</f>
        <v>1184</v>
      </c>
      <c r="N44" s="181"/>
      <c r="O44" s="181"/>
      <c r="P44" s="181"/>
    </row>
    <row r="45" spans="1:72" ht="12">
      <c r="A45" s="245" t="s">
        <v>107</v>
      </c>
      <c r="B45" s="217">
        <f aca="true" t="shared" si="18" ref="B45:M45">+B43+B44</f>
        <v>149</v>
      </c>
      <c r="C45" s="217">
        <f t="shared" si="18"/>
        <v>0</v>
      </c>
      <c r="D45" s="217">
        <f t="shared" si="18"/>
        <v>505</v>
      </c>
      <c r="E45" s="217">
        <f t="shared" si="18"/>
        <v>2324</v>
      </c>
      <c r="F45" s="217">
        <f t="shared" si="18"/>
        <v>500</v>
      </c>
      <c r="G45" s="217">
        <f t="shared" si="18"/>
        <v>4</v>
      </c>
      <c r="H45" s="217">
        <f t="shared" si="18"/>
        <v>0</v>
      </c>
      <c r="I45" s="217">
        <f t="shared" si="18"/>
        <v>1496</v>
      </c>
      <c r="J45" s="217">
        <f t="shared" si="18"/>
        <v>138</v>
      </c>
      <c r="K45" s="217">
        <f t="shared" si="18"/>
        <v>0</v>
      </c>
      <c r="L45" s="217">
        <f t="shared" si="18"/>
        <v>0</v>
      </c>
      <c r="M45" s="217">
        <f t="shared" si="18"/>
        <v>5116</v>
      </c>
      <c r="N45" s="158"/>
      <c r="O45" s="150"/>
      <c r="P45" s="150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6"/>
      <c r="BP45" s="246"/>
      <c r="BQ45" s="246"/>
      <c r="BR45" s="246"/>
      <c r="BS45" s="246"/>
      <c r="BT45" s="246"/>
    </row>
    <row r="46" spans="1:13" s="135" customFormat="1" ht="12">
      <c r="A46" s="244" t="s">
        <v>112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51"/>
    </row>
    <row r="47" spans="1:13" s="135" customFormat="1" ht="12">
      <c r="A47" s="245" t="s">
        <v>105</v>
      </c>
      <c r="B47" s="223">
        <f>+B43+B39+B35+B31</f>
        <v>1478</v>
      </c>
      <c r="C47" s="223">
        <f aca="true" t="shared" si="19" ref="C47:M48">+C43+C39+C35+C31</f>
        <v>4030</v>
      </c>
      <c r="D47" s="223">
        <f t="shared" si="19"/>
        <v>1646</v>
      </c>
      <c r="E47" s="223">
        <f t="shared" si="19"/>
        <v>2055</v>
      </c>
      <c r="F47" s="223">
        <f t="shared" si="19"/>
        <v>6832</v>
      </c>
      <c r="G47" s="223">
        <f t="shared" si="19"/>
        <v>4434</v>
      </c>
      <c r="H47" s="223">
        <f t="shared" si="19"/>
        <v>607</v>
      </c>
      <c r="I47" s="223">
        <f t="shared" si="19"/>
        <v>1819</v>
      </c>
      <c r="J47" s="223">
        <f t="shared" si="19"/>
        <v>712</v>
      </c>
      <c r="K47" s="223">
        <f t="shared" si="19"/>
        <v>3395</v>
      </c>
      <c r="L47" s="223">
        <f t="shared" si="19"/>
        <v>1881</v>
      </c>
      <c r="M47" s="223">
        <f t="shared" si="19"/>
        <v>28889</v>
      </c>
    </row>
    <row r="48" spans="1:13" s="135" customFormat="1" ht="12">
      <c r="A48" s="245" t="s">
        <v>115</v>
      </c>
      <c r="B48" s="223">
        <f>+B44+B40+B36+B32</f>
        <v>494</v>
      </c>
      <c r="C48" s="223">
        <f t="shared" si="19"/>
        <v>741</v>
      </c>
      <c r="D48" s="223">
        <f t="shared" si="19"/>
        <v>284</v>
      </c>
      <c r="E48" s="223">
        <f t="shared" si="19"/>
        <v>837</v>
      </c>
      <c r="F48" s="223">
        <f t="shared" si="19"/>
        <v>2420</v>
      </c>
      <c r="G48" s="223">
        <f t="shared" si="19"/>
        <v>1372</v>
      </c>
      <c r="H48" s="223">
        <f t="shared" si="19"/>
        <v>148</v>
      </c>
      <c r="I48" s="223">
        <f t="shared" si="19"/>
        <v>398</v>
      </c>
      <c r="J48" s="223">
        <f t="shared" si="19"/>
        <v>179</v>
      </c>
      <c r="K48" s="223">
        <f t="shared" si="19"/>
        <v>971</v>
      </c>
      <c r="L48" s="223">
        <f t="shared" si="19"/>
        <v>488</v>
      </c>
      <c r="M48" s="223">
        <f t="shared" si="19"/>
        <v>8332</v>
      </c>
    </row>
    <row r="49" spans="1:13" s="135" customFormat="1" ht="12">
      <c r="A49" s="245" t="s">
        <v>107</v>
      </c>
      <c r="B49" s="217">
        <f aca="true" t="shared" si="20" ref="B49:M49">+B47+B48</f>
        <v>1972</v>
      </c>
      <c r="C49" s="217">
        <f>+C47+C48</f>
        <v>4771</v>
      </c>
      <c r="D49" s="217">
        <f t="shared" si="20"/>
        <v>1930</v>
      </c>
      <c r="E49" s="217">
        <f t="shared" si="20"/>
        <v>2892</v>
      </c>
      <c r="F49" s="217">
        <f t="shared" si="20"/>
        <v>9252</v>
      </c>
      <c r="G49" s="217">
        <f t="shared" si="20"/>
        <v>5806</v>
      </c>
      <c r="H49" s="217">
        <f t="shared" si="20"/>
        <v>755</v>
      </c>
      <c r="I49" s="217">
        <f t="shared" si="20"/>
        <v>2217</v>
      </c>
      <c r="J49" s="217">
        <f t="shared" si="20"/>
        <v>891</v>
      </c>
      <c r="K49" s="217">
        <f t="shared" si="20"/>
        <v>4366</v>
      </c>
      <c r="L49" s="217">
        <f t="shared" si="20"/>
        <v>2369</v>
      </c>
      <c r="M49" s="217">
        <f t="shared" si="20"/>
        <v>37221</v>
      </c>
    </row>
    <row r="50" spans="2:13" s="135" customFormat="1" ht="12">
      <c r="B50" s="218"/>
      <c r="C50" s="218"/>
      <c r="D50" s="196"/>
      <c r="E50" s="218"/>
      <c r="F50" s="218" t="s">
        <v>65</v>
      </c>
      <c r="G50" s="218"/>
      <c r="H50" s="218"/>
      <c r="I50" s="218"/>
      <c r="J50" s="218"/>
      <c r="K50" s="196"/>
      <c r="L50" s="218"/>
      <c r="M50" s="218"/>
    </row>
    <row r="51" spans="1:58" s="250" customFormat="1" ht="12">
      <c r="A51" s="244" t="s">
        <v>104</v>
      </c>
      <c r="B51" s="215"/>
      <c r="C51" s="215"/>
      <c r="D51" s="169"/>
      <c r="E51" s="169"/>
      <c r="F51" s="169"/>
      <c r="G51" s="169"/>
      <c r="H51" s="215"/>
      <c r="I51" s="169"/>
      <c r="J51" s="169"/>
      <c r="K51" s="215"/>
      <c r="L51" s="169"/>
      <c r="M51" s="172"/>
      <c r="N51" s="164"/>
      <c r="O51" s="150"/>
      <c r="P51" s="150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49"/>
      <c r="AU51" s="249"/>
      <c r="AV51" s="249"/>
      <c r="AW51" s="249"/>
      <c r="AX51" s="249"/>
      <c r="AY51" s="249"/>
      <c r="AZ51" s="249"/>
      <c r="BA51" s="249"/>
      <c r="BB51" s="249"/>
      <c r="BC51" s="249"/>
      <c r="BD51" s="249"/>
      <c r="BE51" s="249"/>
      <c r="BF51" s="249"/>
    </row>
    <row r="52" spans="1:58" ht="13.5" customHeight="1">
      <c r="A52" s="245" t="s">
        <v>105</v>
      </c>
      <c r="B52" s="37">
        <v>0</v>
      </c>
      <c r="C52" s="37">
        <v>0</v>
      </c>
      <c r="D52" s="37">
        <v>1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172">
        <f>SUM(B52:L52)</f>
        <v>1</v>
      </c>
      <c r="N52" s="167"/>
      <c r="O52" s="167"/>
      <c r="P52" s="167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246"/>
      <c r="BC52" s="246"/>
      <c r="BD52" s="246"/>
      <c r="BE52" s="246"/>
      <c r="BF52" s="246"/>
    </row>
    <row r="53" spans="1:30" ht="12">
      <c r="A53" s="245" t="s">
        <v>115</v>
      </c>
      <c r="B53" s="37">
        <v>12</v>
      </c>
      <c r="C53" s="37">
        <v>28</v>
      </c>
      <c r="D53" s="37">
        <v>20</v>
      </c>
      <c r="E53" s="37">
        <v>150</v>
      </c>
      <c r="F53" s="37">
        <v>26</v>
      </c>
      <c r="G53" s="37">
        <v>142</v>
      </c>
      <c r="H53" s="37">
        <v>39</v>
      </c>
      <c r="I53" s="37">
        <v>21</v>
      </c>
      <c r="J53" s="37">
        <v>53</v>
      </c>
      <c r="K53" s="37">
        <v>24</v>
      </c>
      <c r="L53" s="37">
        <v>57</v>
      </c>
      <c r="M53" s="172">
        <f>SUM(B53:L53)</f>
        <v>572</v>
      </c>
      <c r="N53" s="167"/>
      <c r="O53" s="167"/>
      <c r="P53" s="167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</row>
    <row r="54" spans="1:58" ht="12">
      <c r="A54" s="245" t="s">
        <v>107</v>
      </c>
      <c r="B54" s="217">
        <f aca="true" t="shared" si="21" ref="B54:M54">+B52+B53</f>
        <v>12</v>
      </c>
      <c r="C54" s="217">
        <f t="shared" si="21"/>
        <v>28</v>
      </c>
      <c r="D54" s="217">
        <f t="shared" si="21"/>
        <v>21</v>
      </c>
      <c r="E54" s="217">
        <f t="shared" si="21"/>
        <v>150</v>
      </c>
      <c r="F54" s="217">
        <f t="shared" si="21"/>
        <v>26</v>
      </c>
      <c r="G54" s="217">
        <f t="shared" si="21"/>
        <v>142</v>
      </c>
      <c r="H54" s="217">
        <f t="shared" si="21"/>
        <v>39</v>
      </c>
      <c r="I54" s="217">
        <f t="shared" si="21"/>
        <v>21</v>
      </c>
      <c r="J54" s="217">
        <f t="shared" si="21"/>
        <v>53</v>
      </c>
      <c r="K54" s="217">
        <f t="shared" si="21"/>
        <v>24</v>
      </c>
      <c r="L54" s="217">
        <f t="shared" si="21"/>
        <v>57</v>
      </c>
      <c r="M54" s="217">
        <f t="shared" si="21"/>
        <v>573</v>
      </c>
      <c r="N54" s="158"/>
      <c r="O54" s="150"/>
      <c r="P54" s="150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</row>
    <row r="55" spans="1:30" ht="12">
      <c r="A55" s="244" t="s">
        <v>151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72"/>
      <c r="N55" s="171"/>
      <c r="O55" s="171"/>
      <c r="P55" s="171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</row>
    <row r="56" spans="1:30" ht="12">
      <c r="A56" s="245" t="s">
        <v>105</v>
      </c>
      <c r="B56" s="37">
        <v>651</v>
      </c>
      <c r="C56" s="37">
        <v>2174</v>
      </c>
      <c r="D56" s="37">
        <v>623</v>
      </c>
      <c r="E56" s="37">
        <v>639</v>
      </c>
      <c r="F56" s="37">
        <v>1478</v>
      </c>
      <c r="G56" s="37">
        <v>5656</v>
      </c>
      <c r="H56" s="37">
        <v>1647</v>
      </c>
      <c r="I56" s="37">
        <v>1732</v>
      </c>
      <c r="J56" s="37">
        <v>2216</v>
      </c>
      <c r="K56" s="37">
        <v>1513</v>
      </c>
      <c r="L56" s="37">
        <v>2537</v>
      </c>
      <c r="M56" s="172">
        <f>SUM(B56:L56)</f>
        <v>20866</v>
      </c>
      <c r="N56" s="150"/>
      <c r="O56" s="150"/>
      <c r="P56" s="150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</row>
    <row r="57" spans="1:30" ht="12">
      <c r="A57" s="245" t="s">
        <v>115</v>
      </c>
      <c r="B57" s="37">
        <v>185</v>
      </c>
      <c r="C57" s="37">
        <v>386</v>
      </c>
      <c r="D57" s="37">
        <v>120</v>
      </c>
      <c r="E57" s="37">
        <v>209</v>
      </c>
      <c r="F57" s="37">
        <v>392</v>
      </c>
      <c r="G57" s="37">
        <v>1385</v>
      </c>
      <c r="H57" s="37">
        <v>343</v>
      </c>
      <c r="I57" s="37">
        <v>140</v>
      </c>
      <c r="J57" s="37">
        <v>473</v>
      </c>
      <c r="K57" s="37">
        <v>316</v>
      </c>
      <c r="L57" s="37">
        <v>383</v>
      </c>
      <c r="M57" s="172">
        <f>SUM(B57:L57)</f>
        <v>4332</v>
      </c>
      <c r="N57" s="164"/>
      <c r="O57" s="164"/>
      <c r="P57" s="164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</row>
    <row r="58" spans="1:58" ht="12">
      <c r="A58" s="245" t="s">
        <v>107</v>
      </c>
      <c r="B58" s="217">
        <f aca="true" t="shared" si="22" ref="B58:M58">+B56+B57</f>
        <v>836</v>
      </c>
      <c r="C58" s="217">
        <f t="shared" si="22"/>
        <v>2560</v>
      </c>
      <c r="D58" s="217">
        <f t="shared" si="22"/>
        <v>743</v>
      </c>
      <c r="E58" s="217">
        <f t="shared" si="22"/>
        <v>848</v>
      </c>
      <c r="F58" s="217">
        <f t="shared" si="22"/>
        <v>1870</v>
      </c>
      <c r="G58" s="217">
        <f t="shared" si="22"/>
        <v>7041</v>
      </c>
      <c r="H58" s="217">
        <f>+H56+H57</f>
        <v>1990</v>
      </c>
      <c r="I58" s="217">
        <f t="shared" si="22"/>
        <v>1872</v>
      </c>
      <c r="J58" s="217">
        <f t="shared" si="22"/>
        <v>2689</v>
      </c>
      <c r="K58" s="217">
        <f t="shared" si="22"/>
        <v>1829</v>
      </c>
      <c r="L58" s="217">
        <f t="shared" si="22"/>
        <v>2920</v>
      </c>
      <c r="M58" s="217">
        <f t="shared" si="22"/>
        <v>25198</v>
      </c>
      <c r="N58" s="158"/>
      <c r="O58" s="150"/>
      <c r="P58" s="150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6"/>
      <c r="BF58" s="246"/>
    </row>
    <row r="59" spans="1:30" ht="12">
      <c r="A59" s="244" t="s">
        <v>152</v>
      </c>
      <c r="B59" s="169"/>
      <c r="C59" s="215"/>
      <c r="D59" s="215"/>
      <c r="E59" s="215"/>
      <c r="F59" s="169"/>
      <c r="G59" s="169"/>
      <c r="H59" s="169"/>
      <c r="I59" s="169"/>
      <c r="J59" s="172"/>
      <c r="K59" s="215"/>
      <c r="L59" s="172"/>
      <c r="M59" s="172"/>
      <c r="N59" s="163"/>
      <c r="O59" s="163"/>
      <c r="P59" s="163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</row>
    <row r="60" spans="1:30" ht="12">
      <c r="A60" s="245" t="s">
        <v>105</v>
      </c>
      <c r="B60" s="37">
        <v>325</v>
      </c>
      <c r="C60" s="37">
        <v>1192</v>
      </c>
      <c r="D60" s="37">
        <v>329</v>
      </c>
      <c r="E60" s="37">
        <v>0</v>
      </c>
      <c r="F60" s="37">
        <v>835</v>
      </c>
      <c r="G60" s="37">
        <v>2375</v>
      </c>
      <c r="H60" s="37">
        <v>987</v>
      </c>
      <c r="I60" s="37">
        <v>106</v>
      </c>
      <c r="J60" s="37">
        <v>960</v>
      </c>
      <c r="K60" s="37">
        <v>614</v>
      </c>
      <c r="L60" s="37">
        <v>1167</v>
      </c>
      <c r="M60" s="172">
        <f>SUM(B60:L60)</f>
        <v>8890</v>
      </c>
      <c r="N60" s="177"/>
      <c r="O60" s="177"/>
      <c r="P60" s="177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</row>
    <row r="61" spans="1:30" ht="12">
      <c r="A61" s="245" t="s">
        <v>115</v>
      </c>
      <c r="B61" s="37">
        <v>59</v>
      </c>
      <c r="C61" s="37">
        <v>175</v>
      </c>
      <c r="D61" s="37">
        <v>49</v>
      </c>
      <c r="E61" s="37">
        <v>3</v>
      </c>
      <c r="F61" s="37">
        <v>225</v>
      </c>
      <c r="G61" s="37">
        <v>767</v>
      </c>
      <c r="H61" s="37">
        <v>173</v>
      </c>
      <c r="I61" s="37">
        <v>14</v>
      </c>
      <c r="J61" s="37">
        <v>317</v>
      </c>
      <c r="K61" s="37">
        <v>99</v>
      </c>
      <c r="L61" s="37">
        <v>235</v>
      </c>
      <c r="M61" s="172">
        <f>SUM(B61:L61)</f>
        <v>2116</v>
      </c>
      <c r="N61" s="150"/>
      <c r="O61" s="150"/>
      <c r="P61" s="150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</row>
    <row r="62" spans="1:58" ht="12">
      <c r="A62" s="245" t="s">
        <v>107</v>
      </c>
      <c r="B62" s="217">
        <f aca="true" t="shared" si="23" ref="B62:H62">+B60+B61</f>
        <v>384</v>
      </c>
      <c r="C62" s="217">
        <f t="shared" si="23"/>
        <v>1367</v>
      </c>
      <c r="D62" s="217">
        <f t="shared" si="23"/>
        <v>378</v>
      </c>
      <c r="E62" s="217">
        <f t="shared" si="23"/>
        <v>3</v>
      </c>
      <c r="F62" s="217">
        <f t="shared" si="23"/>
        <v>1060</v>
      </c>
      <c r="G62" s="217">
        <f t="shared" si="23"/>
        <v>3142</v>
      </c>
      <c r="H62" s="217">
        <f t="shared" si="23"/>
        <v>1160</v>
      </c>
      <c r="I62" s="217">
        <f>+I60+I61</f>
        <v>120</v>
      </c>
      <c r="J62" s="217">
        <f>+J60+J61</f>
        <v>1277</v>
      </c>
      <c r="K62" s="217">
        <f>+K60+K61</f>
        <v>713</v>
      </c>
      <c r="L62" s="217">
        <f>+L60+L61</f>
        <v>1402</v>
      </c>
      <c r="M62" s="217">
        <f>+M60+M61</f>
        <v>11006</v>
      </c>
      <c r="N62" s="158"/>
      <c r="O62" s="150"/>
      <c r="P62" s="150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  <c r="AM62" s="246"/>
      <c r="AN62" s="246"/>
      <c r="AO62" s="246"/>
      <c r="AP62" s="246"/>
      <c r="AQ62" s="246"/>
      <c r="AR62" s="246"/>
      <c r="AS62" s="246"/>
      <c r="AT62" s="246"/>
      <c r="AU62" s="246"/>
      <c r="AV62" s="246"/>
      <c r="AW62" s="246"/>
      <c r="AX62" s="246"/>
      <c r="AY62" s="246"/>
      <c r="AZ62" s="246"/>
      <c r="BA62" s="246"/>
      <c r="BB62" s="246"/>
      <c r="BC62" s="246"/>
      <c r="BD62" s="246"/>
      <c r="BE62" s="246"/>
      <c r="BF62" s="246"/>
    </row>
    <row r="63" spans="1:30" ht="12">
      <c r="A63" s="244" t="s">
        <v>153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72"/>
      <c r="N63" s="150"/>
      <c r="O63" s="150"/>
      <c r="P63" s="150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</row>
    <row r="64" spans="1:16" ht="12">
      <c r="A64" s="245" t="s">
        <v>105</v>
      </c>
      <c r="B64" s="37">
        <v>295</v>
      </c>
      <c r="C64" s="37"/>
      <c r="D64" s="37">
        <v>1142</v>
      </c>
      <c r="E64" s="37">
        <v>3262</v>
      </c>
      <c r="F64" s="37">
        <v>474</v>
      </c>
      <c r="G64" s="37">
        <v>43</v>
      </c>
      <c r="H64" s="37"/>
      <c r="I64" s="37">
        <v>1486</v>
      </c>
      <c r="J64" s="37">
        <v>1156</v>
      </c>
      <c r="K64" s="37"/>
      <c r="L64" s="37"/>
      <c r="M64" s="172">
        <f>SUM(B64:L64)</f>
        <v>7858</v>
      </c>
      <c r="N64" s="181"/>
      <c r="O64" s="181"/>
      <c r="P64" s="181"/>
    </row>
    <row r="65" spans="1:16" ht="12">
      <c r="A65" s="245" t="s">
        <v>115</v>
      </c>
      <c r="B65" s="37">
        <v>141</v>
      </c>
      <c r="C65" s="37"/>
      <c r="D65" s="37">
        <v>280</v>
      </c>
      <c r="E65" s="37">
        <v>983</v>
      </c>
      <c r="F65" s="37">
        <v>162</v>
      </c>
      <c r="G65" s="37">
        <v>1</v>
      </c>
      <c r="H65" s="37"/>
      <c r="I65" s="37">
        <v>283</v>
      </c>
      <c r="J65" s="37">
        <v>340</v>
      </c>
      <c r="K65" s="37"/>
      <c r="L65" s="37"/>
      <c r="M65" s="172">
        <f>SUM(B65:L65)</f>
        <v>2190</v>
      </c>
      <c r="N65" s="181"/>
      <c r="O65" s="181"/>
      <c r="P65" s="181"/>
    </row>
    <row r="66" spans="1:58" ht="12">
      <c r="A66" s="245" t="s">
        <v>107</v>
      </c>
      <c r="B66" s="217">
        <f aca="true" t="shared" si="24" ref="B66:M66">+B64+B65</f>
        <v>436</v>
      </c>
      <c r="C66" s="217">
        <f t="shared" si="24"/>
        <v>0</v>
      </c>
      <c r="D66" s="217">
        <f t="shared" si="24"/>
        <v>1422</v>
      </c>
      <c r="E66" s="217">
        <f t="shared" si="24"/>
        <v>4245</v>
      </c>
      <c r="F66" s="217">
        <f t="shared" si="24"/>
        <v>636</v>
      </c>
      <c r="G66" s="217">
        <f t="shared" si="24"/>
        <v>44</v>
      </c>
      <c r="H66" s="217">
        <f t="shared" si="24"/>
        <v>0</v>
      </c>
      <c r="I66" s="217">
        <f t="shared" si="24"/>
        <v>1769</v>
      </c>
      <c r="J66" s="217">
        <f t="shared" si="24"/>
        <v>1496</v>
      </c>
      <c r="K66" s="217">
        <f t="shared" si="24"/>
        <v>0</v>
      </c>
      <c r="L66" s="217">
        <f t="shared" si="24"/>
        <v>0</v>
      </c>
      <c r="M66" s="217">
        <f t="shared" si="24"/>
        <v>10048</v>
      </c>
      <c r="N66" s="158"/>
      <c r="O66" s="150"/>
      <c r="P66" s="150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  <c r="AM66" s="246"/>
      <c r="AN66" s="246"/>
      <c r="AO66" s="246"/>
      <c r="AP66" s="246"/>
      <c r="AQ66" s="246"/>
      <c r="AR66" s="246"/>
      <c r="AS66" s="246"/>
      <c r="AT66" s="246"/>
      <c r="AU66" s="246"/>
      <c r="AV66" s="246"/>
      <c r="AW66" s="246"/>
      <c r="AX66" s="246"/>
      <c r="AY66" s="246"/>
      <c r="AZ66" s="246"/>
      <c r="BA66" s="246"/>
      <c r="BB66" s="246"/>
      <c r="BC66" s="246"/>
      <c r="BD66" s="246"/>
      <c r="BE66" s="246"/>
      <c r="BF66" s="246"/>
    </row>
    <row r="67" spans="1:58" ht="12">
      <c r="A67" s="244" t="s">
        <v>112</v>
      </c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51"/>
      <c r="N67" s="158"/>
      <c r="O67" s="150"/>
      <c r="P67" s="150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  <c r="AM67" s="246"/>
      <c r="AN67" s="246"/>
      <c r="AO67" s="246"/>
      <c r="AP67" s="246"/>
      <c r="AQ67" s="246"/>
      <c r="AR67" s="246"/>
      <c r="AS67" s="246"/>
      <c r="AT67" s="246"/>
      <c r="AU67" s="246"/>
      <c r="AV67" s="246"/>
      <c r="AW67" s="246"/>
      <c r="AX67" s="246"/>
      <c r="AY67" s="246"/>
      <c r="AZ67" s="246"/>
      <c r="BA67" s="246"/>
      <c r="BB67" s="246"/>
      <c r="BC67" s="246"/>
      <c r="BD67" s="246"/>
      <c r="BE67" s="246"/>
      <c r="BF67" s="246"/>
    </row>
    <row r="68" spans="1:16" ht="12">
      <c r="A68" s="245" t="s">
        <v>105</v>
      </c>
      <c r="B68" s="223">
        <v>295</v>
      </c>
      <c r="C68" s="223"/>
      <c r="D68" s="223">
        <v>1142</v>
      </c>
      <c r="E68" s="223">
        <v>3262</v>
      </c>
      <c r="F68" s="223">
        <v>474</v>
      </c>
      <c r="G68" s="223">
        <v>43</v>
      </c>
      <c r="H68" s="223"/>
      <c r="I68" s="223">
        <v>1486</v>
      </c>
      <c r="J68" s="223">
        <v>1156</v>
      </c>
      <c r="K68" s="223"/>
      <c r="L68" s="223"/>
      <c r="M68" s="223">
        <f>+M64+M60+M56+M52</f>
        <v>37615</v>
      </c>
      <c r="N68" s="187"/>
      <c r="O68" s="187"/>
      <c r="P68" s="187"/>
    </row>
    <row r="69" spans="1:16" ht="12">
      <c r="A69" s="245" t="s">
        <v>115</v>
      </c>
      <c r="B69" s="223">
        <f aca="true" t="shared" si="25" ref="B69:L69">+B65+B61+B57+B53</f>
        <v>397</v>
      </c>
      <c r="C69" s="223">
        <f t="shared" si="25"/>
        <v>589</v>
      </c>
      <c r="D69" s="223">
        <f t="shared" si="25"/>
        <v>469</v>
      </c>
      <c r="E69" s="223">
        <f t="shared" si="25"/>
        <v>1345</v>
      </c>
      <c r="F69" s="223">
        <f t="shared" si="25"/>
        <v>805</v>
      </c>
      <c r="G69" s="223">
        <f t="shared" si="25"/>
        <v>2295</v>
      </c>
      <c r="H69" s="223">
        <f t="shared" si="25"/>
        <v>555</v>
      </c>
      <c r="I69" s="223">
        <f t="shared" si="25"/>
        <v>458</v>
      </c>
      <c r="J69" s="223">
        <f t="shared" si="25"/>
        <v>1183</v>
      </c>
      <c r="K69" s="223">
        <f t="shared" si="25"/>
        <v>439</v>
      </c>
      <c r="L69" s="223">
        <f t="shared" si="25"/>
        <v>675</v>
      </c>
      <c r="M69" s="223">
        <f>+M65+M61+M57+M53</f>
        <v>9210</v>
      </c>
      <c r="N69" s="190"/>
      <c r="O69" s="190"/>
      <c r="P69" s="190"/>
    </row>
    <row r="70" spans="1:16" ht="12">
      <c r="A70" s="266" t="s">
        <v>107</v>
      </c>
      <c r="B70" s="221">
        <f aca="true" t="shared" si="26" ref="B70:L70">+B68+B69</f>
        <v>692</v>
      </c>
      <c r="C70" s="221">
        <f>+C68+C69</f>
        <v>589</v>
      </c>
      <c r="D70" s="221">
        <f t="shared" si="26"/>
        <v>1611</v>
      </c>
      <c r="E70" s="221">
        <f t="shared" si="26"/>
        <v>4607</v>
      </c>
      <c r="F70" s="221">
        <f t="shared" si="26"/>
        <v>1279</v>
      </c>
      <c r="G70" s="221">
        <f t="shared" si="26"/>
        <v>2338</v>
      </c>
      <c r="H70" s="221">
        <f t="shared" si="26"/>
        <v>555</v>
      </c>
      <c r="I70" s="221">
        <f t="shared" si="26"/>
        <v>1944</v>
      </c>
      <c r="J70" s="221">
        <f t="shared" si="26"/>
        <v>2339</v>
      </c>
      <c r="K70" s="221">
        <f t="shared" si="26"/>
        <v>439</v>
      </c>
      <c r="L70" s="221">
        <f t="shared" si="26"/>
        <v>675</v>
      </c>
      <c r="M70" s="221">
        <f>+M68+M69</f>
        <v>46825</v>
      </c>
      <c r="N70" s="192"/>
      <c r="O70" s="192"/>
      <c r="P70" s="192"/>
    </row>
    <row r="71" spans="1:16" ht="12">
      <c r="A71" s="73" t="s">
        <v>147</v>
      </c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00"/>
      <c r="O71" s="200"/>
      <c r="P71" s="200"/>
    </row>
    <row r="72" spans="1:16" ht="12">
      <c r="A72" s="256" t="s">
        <v>133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4"/>
      <c r="N72" s="200"/>
      <c r="O72" s="200"/>
      <c r="P72" s="200"/>
    </row>
    <row r="73" spans="1:16" ht="12">
      <c r="A73" s="257" t="s">
        <v>66</v>
      </c>
      <c r="B73" s="258"/>
      <c r="C73" s="223"/>
      <c r="D73" s="258"/>
      <c r="E73" s="223"/>
      <c r="F73" s="258"/>
      <c r="G73" s="258"/>
      <c r="H73" s="258"/>
      <c r="I73" s="258"/>
      <c r="J73" s="258"/>
      <c r="K73" s="223"/>
      <c r="L73" s="258"/>
      <c r="M73" s="224"/>
      <c r="N73" s="200"/>
      <c r="O73" s="200"/>
      <c r="P73" s="200"/>
    </row>
    <row r="74" spans="1:16" ht="12">
      <c r="A74" s="259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00"/>
      <c r="O74" s="200"/>
      <c r="P74" s="200"/>
    </row>
    <row r="75" spans="1:16" ht="12">
      <c r="A75" s="260"/>
      <c r="B75" s="200"/>
      <c r="C75" s="225"/>
      <c r="D75" s="225"/>
      <c r="E75" s="225"/>
      <c r="F75" s="200"/>
      <c r="G75" s="200"/>
      <c r="H75" s="200"/>
      <c r="I75" s="200"/>
      <c r="J75" s="200"/>
      <c r="K75" s="225"/>
      <c r="L75" s="200"/>
      <c r="M75" s="224"/>
      <c r="N75" s="200"/>
      <c r="O75" s="200"/>
      <c r="P75" s="200"/>
    </row>
    <row r="76" spans="1:16" ht="12">
      <c r="A76" s="260"/>
      <c r="B76" s="200"/>
      <c r="C76" s="225"/>
      <c r="D76" s="225"/>
      <c r="E76" s="225"/>
      <c r="F76" s="200"/>
      <c r="G76" s="200"/>
      <c r="H76" s="200"/>
      <c r="I76" s="200"/>
      <c r="J76" s="200"/>
      <c r="K76" s="225"/>
      <c r="L76" s="200"/>
      <c r="M76" s="224"/>
      <c r="N76" s="200"/>
      <c r="O76" s="200"/>
      <c r="P76" s="200"/>
    </row>
    <row r="77" spans="1:16" ht="12">
      <c r="A77" s="260"/>
      <c r="B77" s="200"/>
      <c r="C77" s="225"/>
      <c r="D77" s="225"/>
      <c r="E77" s="225"/>
      <c r="F77" s="200"/>
      <c r="G77" s="200"/>
      <c r="H77" s="200"/>
      <c r="I77" s="200"/>
      <c r="J77" s="200"/>
      <c r="K77" s="225"/>
      <c r="L77" s="200"/>
      <c r="M77" s="224"/>
      <c r="N77" s="203"/>
      <c r="O77" s="203"/>
      <c r="P77" s="203"/>
    </row>
    <row r="78" spans="1:16" ht="12">
      <c r="A78" s="260"/>
      <c r="B78" s="200"/>
      <c r="C78" s="225"/>
      <c r="D78" s="225"/>
      <c r="E78" s="225"/>
      <c r="F78" s="200"/>
      <c r="G78" s="200"/>
      <c r="H78" s="200"/>
      <c r="I78" s="200"/>
      <c r="J78" s="200"/>
      <c r="K78" s="225"/>
      <c r="L78" s="200"/>
      <c r="M78" s="224"/>
      <c r="N78" s="200"/>
      <c r="O78" s="200"/>
      <c r="P78" s="200"/>
    </row>
    <row r="79" spans="1:16" ht="12">
      <c r="A79" s="260"/>
      <c r="B79" s="200"/>
      <c r="C79" s="225"/>
      <c r="D79" s="225"/>
      <c r="E79" s="225"/>
      <c r="F79" s="200"/>
      <c r="G79" s="200"/>
      <c r="H79" s="200"/>
      <c r="I79" s="200"/>
      <c r="J79" s="225"/>
      <c r="K79" s="225"/>
      <c r="L79" s="200"/>
      <c r="M79" s="224"/>
      <c r="N79" s="164"/>
      <c r="O79" s="164"/>
      <c r="P79" s="164"/>
    </row>
    <row r="80" spans="1:16" ht="12">
      <c r="A80" s="260"/>
      <c r="B80" s="200"/>
      <c r="C80" s="225"/>
      <c r="D80" s="200"/>
      <c r="E80" s="225"/>
      <c r="F80" s="200"/>
      <c r="G80" s="200"/>
      <c r="H80" s="200"/>
      <c r="I80" s="200"/>
      <c r="J80" s="200"/>
      <c r="K80" s="225"/>
      <c r="L80" s="200"/>
      <c r="M80" s="224"/>
      <c r="N80" s="203"/>
      <c r="O80" s="203"/>
      <c r="P80" s="203"/>
    </row>
    <row r="81" spans="1:13" ht="12">
      <c r="A81" s="264"/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24"/>
    </row>
    <row r="82" spans="1:13" ht="12">
      <c r="A82" s="264"/>
      <c r="B82" s="264"/>
      <c r="C82" s="264"/>
      <c r="D82" s="264"/>
      <c r="E82" s="264"/>
      <c r="F82" s="264"/>
      <c r="G82" s="264"/>
      <c r="H82" s="264"/>
      <c r="I82" s="264"/>
      <c r="J82" s="264"/>
      <c r="K82" s="264"/>
      <c r="L82" s="264"/>
      <c r="M82" s="224"/>
    </row>
    <row r="83" spans="1:13" ht="12">
      <c r="A83" s="164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</row>
    <row r="84" spans="1:13" ht="12">
      <c r="A84" s="262"/>
      <c r="B84" s="226"/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63"/>
    </row>
  </sheetData>
  <sheetProtection/>
  <mergeCells count="1">
    <mergeCell ref="B3:L3"/>
  </mergeCells>
  <printOptions/>
  <pageMargins left="0.5511811023622047" right="0.2362204724409449" top="0.5511811023622047" bottom="0.1968503937007874" header="0.5118110236220472" footer="0.2362204724409449"/>
  <pageSetup fitToHeight="1" fitToWidth="1" orientation="portrait" paperSize="9" scale="68" r:id="rId1"/>
  <headerFooter alignWithMargins="0">
    <oddHeader>&amp;R&amp;F</oddHeader>
    <oddFooter>&amp;LComune di Bologna - Dipartimento Programmazione - Settore Statistica</oddFooter>
  </headerFooter>
  <ignoredErrors>
    <ignoredError sqref="N31:X3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84"/>
  <sheetViews>
    <sheetView showZeros="0" zoomScale="85" zoomScaleNormal="85" zoomScalePageLayoutView="0" workbookViewId="0" topLeftCell="A1">
      <pane ySplit="7" topLeftCell="A11" activePane="bottomLeft" state="frozen"/>
      <selection pane="topLeft" activeCell="A1" sqref="A1:IV16384"/>
      <selection pane="bottomLeft" activeCell="A1" sqref="A1"/>
    </sheetView>
  </sheetViews>
  <sheetFormatPr defaultColWidth="10.875" defaultRowHeight="12"/>
  <cols>
    <col min="1" max="1" width="56.625" style="138" customWidth="1"/>
    <col min="2" max="3" width="11.25390625" style="138" customWidth="1"/>
    <col min="4" max="4" width="12.00390625" style="138" customWidth="1"/>
    <col min="5" max="5" width="13.00390625" style="138" customWidth="1"/>
    <col min="6" max="7" width="11.25390625" style="138" customWidth="1"/>
    <col min="8" max="8" width="12.875" style="138" customWidth="1"/>
    <col min="9" max="12" width="11.25390625" style="138" customWidth="1"/>
    <col min="13" max="13" width="8.00390625" style="138" customWidth="1"/>
    <col min="14" max="15" width="9.875" style="138" customWidth="1"/>
    <col min="16" max="16384" width="10.875" style="138" customWidth="1"/>
  </cols>
  <sheetData>
    <row r="1" spans="1:13" s="120" customFormat="1" ht="15" customHeight="1">
      <c r="A1" s="227" t="s">
        <v>134</v>
      </c>
      <c r="B1" s="209"/>
      <c r="C1" s="209"/>
      <c r="D1" s="209"/>
      <c r="E1" s="209"/>
      <c r="F1" s="209"/>
      <c r="G1" s="209"/>
      <c r="H1" s="227"/>
      <c r="I1" s="209"/>
      <c r="J1" s="209"/>
      <c r="K1" s="209"/>
      <c r="L1" s="209"/>
      <c r="M1" s="228"/>
    </row>
    <row r="2" spans="1:13" s="131" customFormat="1" ht="15">
      <c r="A2" s="229" t="s">
        <v>150</v>
      </c>
      <c r="B2" s="211"/>
      <c r="C2" s="211"/>
      <c r="D2" s="230"/>
      <c r="E2" s="211"/>
      <c r="F2" s="231"/>
      <c r="G2" s="230"/>
      <c r="H2" s="232"/>
      <c r="I2" s="211"/>
      <c r="J2" s="233"/>
      <c r="K2" s="234" t="s">
        <v>132</v>
      </c>
      <c r="L2" s="211"/>
      <c r="M2" s="236"/>
    </row>
    <row r="3" spans="1:13" s="135" customFormat="1" ht="12">
      <c r="A3" s="237"/>
      <c r="B3" s="268" t="s">
        <v>136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38" t="s">
        <v>103</v>
      </c>
    </row>
    <row r="4" spans="1:12" ht="48">
      <c r="A4" s="237"/>
      <c r="B4" s="265" t="s">
        <v>137</v>
      </c>
      <c r="C4" s="265" t="s">
        <v>138</v>
      </c>
      <c r="D4" s="265" t="s">
        <v>139</v>
      </c>
      <c r="E4" s="265" t="s">
        <v>140</v>
      </c>
      <c r="F4" s="265" t="s">
        <v>141</v>
      </c>
      <c r="G4" s="265" t="s">
        <v>142</v>
      </c>
      <c r="H4" s="265" t="s">
        <v>143</v>
      </c>
      <c r="I4" s="265" t="s">
        <v>144</v>
      </c>
      <c r="J4" s="265" t="s">
        <v>145</v>
      </c>
      <c r="K4" s="265" t="s">
        <v>6</v>
      </c>
      <c r="L4" s="265" t="s">
        <v>146</v>
      </c>
    </row>
    <row r="5" spans="1:13" ht="12">
      <c r="A5" s="237"/>
      <c r="B5" s="239"/>
      <c r="C5" s="212"/>
      <c r="D5" s="212"/>
      <c r="E5" s="212"/>
      <c r="F5" s="212"/>
      <c r="G5" s="212"/>
      <c r="H5" s="212"/>
      <c r="I5" s="239"/>
      <c r="J5" s="212"/>
      <c r="K5" s="212"/>
      <c r="L5" s="212"/>
      <c r="M5" s="239"/>
    </row>
    <row r="6" spans="1:13" ht="12">
      <c r="A6" s="225"/>
      <c r="B6" s="225"/>
      <c r="C6" s="212"/>
      <c r="D6" s="212"/>
      <c r="E6" s="212"/>
      <c r="F6" s="239"/>
      <c r="G6" s="225"/>
      <c r="H6" s="212"/>
      <c r="I6" s="225"/>
      <c r="J6" s="212"/>
      <c r="K6" s="212"/>
      <c r="L6" s="212"/>
      <c r="M6" s="239"/>
    </row>
    <row r="7" spans="1:13" s="131" customFormat="1" ht="12">
      <c r="A7" s="241"/>
      <c r="B7" s="242"/>
      <c r="C7" s="213"/>
      <c r="D7" s="242"/>
      <c r="E7" s="213"/>
      <c r="F7" s="242"/>
      <c r="G7" s="242"/>
      <c r="H7" s="241"/>
      <c r="I7" s="242"/>
      <c r="J7" s="213"/>
      <c r="K7" s="213"/>
      <c r="L7" s="213"/>
      <c r="M7" s="242"/>
    </row>
    <row r="8" spans="2:15" s="135" customFormat="1" ht="12">
      <c r="B8" s="214"/>
      <c r="C8" s="214"/>
      <c r="E8" s="214"/>
      <c r="F8" s="214" t="s">
        <v>54</v>
      </c>
      <c r="G8" s="214"/>
      <c r="H8" s="214"/>
      <c r="I8" s="214"/>
      <c r="J8" s="218"/>
      <c r="L8" s="214"/>
      <c r="M8" s="214"/>
      <c r="O8" s="139"/>
    </row>
    <row r="9" spans="1:58" s="250" customFormat="1" ht="12">
      <c r="A9" s="244" t="s">
        <v>104</v>
      </c>
      <c r="B9" s="215"/>
      <c r="C9" s="215"/>
      <c r="D9" s="169"/>
      <c r="E9" s="169"/>
      <c r="F9" s="169"/>
      <c r="G9" s="169"/>
      <c r="H9" s="215"/>
      <c r="I9" s="169"/>
      <c r="J9" s="169"/>
      <c r="K9" s="215"/>
      <c r="L9" s="169"/>
      <c r="M9" s="172"/>
      <c r="N9" s="164"/>
      <c r="O9" s="139"/>
      <c r="P9" s="150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</row>
    <row r="10" spans="1:58" ht="13.5" customHeight="1">
      <c r="A10" s="245" t="s">
        <v>105</v>
      </c>
      <c r="B10" s="215">
        <f aca="true" t="shared" si="0" ref="B10:L12">+B31+B52</f>
        <v>0</v>
      </c>
      <c r="C10" s="215">
        <f t="shared" si="0"/>
        <v>0</v>
      </c>
      <c r="D10" s="215">
        <f t="shared" si="0"/>
        <v>2</v>
      </c>
      <c r="E10" s="215">
        <f t="shared" si="0"/>
        <v>0</v>
      </c>
      <c r="F10" s="215">
        <f t="shared" si="0"/>
        <v>0</v>
      </c>
      <c r="G10" s="215">
        <f t="shared" si="0"/>
        <v>0</v>
      </c>
      <c r="H10" s="215">
        <f t="shared" si="0"/>
        <v>0</v>
      </c>
      <c r="I10" s="215">
        <f t="shared" si="0"/>
        <v>0</v>
      </c>
      <c r="J10" s="215">
        <f t="shared" si="0"/>
        <v>0</v>
      </c>
      <c r="K10" s="215">
        <f t="shared" si="0"/>
        <v>0</v>
      </c>
      <c r="L10" s="215">
        <f t="shared" si="0"/>
        <v>1</v>
      </c>
      <c r="M10" s="172">
        <f>SUM(B10:L10)</f>
        <v>3</v>
      </c>
      <c r="N10" s="167"/>
      <c r="O10" s="139"/>
      <c r="P10" s="167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</row>
    <row r="11" spans="1:30" ht="12">
      <c r="A11" s="245" t="s">
        <v>115</v>
      </c>
      <c r="B11" s="215">
        <f t="shared" si="0"/>
        <v>33</v>
      </c>
      <c r="C11" s="215">
        <f t="shared" si="0"/>
        <v>61</v>
      </c>
      <c r="D11" s="215">
        <f t="shared" si="0"/>
        <v>43</v>
      </c>
      <c r="E11" s="215">
        <f t="shared" si="0"/>
        <v>267</v>
      </c>
      <c r="F11" s="215">
        <f t="shared" si="0"/>
        <v>150</v>
      </c>
      <c r="G11" s="215">
        <f t="shared" si="0"/>
        <v>247</v>
      </c>
      <c r="H11" s="215">
        <f t="shared" si="0"/>
        <v>51</v>
      </c>
      <c r="I11" s="215">
        <f t="shared" si="0"/>
        <v>66</v>
      </c>
      <c r="J11" s="215">
        <f t="shared" si="0"/>
        <v>63</v>
      </c>
      <c r="K11" s="215">
        <f t="shared" si="0"/>
        <v>53</v>
      </c>
      <c r="L11" s="215">
        <f t="shared" si="0"/>
        <v>99</v>
      </c>
      <c r="M11" s="172">
        <f>SUM(B11:L11)</f>
        <v>1133</v>
      </c>
      <c r="N11" s="167"/>
      <c r="O11" s="139"/>
      <c r="P11" s="167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</row>
    <row r="12" spans="1:58" ht="12">
      <c r="A12" s="245" t="s">
        <v>107</v>
      </c>
      <c r="B12" s="215">
        <f t="shared" si="0"/>
        <v>33</v>
      </c>
      <c r="C12" s="215">
        <f t="shared" si="0"/>
        <v>61</v>
      </c>
      <c r="D12" s="215">
        <f t="shared" si="0"/>
        <v>45</v>
      </c>
      <c r="E12" s="215">
        <f t="shared" si="0"/>
        <v>267</v>
      </c>
      <c r="F12" s="215">
        <f t="shared" si="0"/>
        <v>150</v>
      </c>
      <c r="G12" s="215">
        <f t="shared" si="0"/>
        <v>247</v>
      </c>
      <c r="H12" s="215">
        <f t="shared" si="0"/>
        <v>51</v>
      </c>
      <c r="I12" s="215">
        <f t="shared" si="0"/>
        <v>66</v>
      </c>
      <c r="J12" s="215">
        <f t="shared" si="0"/>
        <v>63</v>
      </c>
      <c r="K12" s="215">
        <f t="shared" si="0"/>
        <v>53</v>
      </c>
      <c r="L12" s="215">
        <f t="shared" si="0"/>
        <v>100</v>
      </c>
      <c r="M12" s="217">
        <f>+M10+M11</f>
        <v>1136</v>
      </c>
      <c r="N12" s="158"/>
      <c r="O12" s="139"/>
      <c r="P12" s="150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</row>
    <row r="13" spans="1:30" ht="12">
      <c r="A13" s="244" t="s">
        <v>109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72"/>
      <c r="N13" s="171"/>
      <c r="O13" s="139"/>
      <c r="P13" s="171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</row>
    <row r="14" spans="1:30" ht="12">
      <c r="A14" s="245" t="s">
        <v>105</v>
      </c>
      <c r="B14" s="215">
        <f aca="true" t="shared" si="1" ref="B14:L16">+B35+B56</f>
        <v>1718</v>
      </c>
      <c r="C14" s="215">
        <f t="shared" si="1"/>
        <v>4802</v>
      </c>
      <c r="D14" s="215">
        <f t="shared" si="1"/>
        <v>1461</v>
      </c>
      <c r="E14" s="215">
        <f t="shared" si="1"/>
        <v>969</v>
      </c>
      <c r="F14" s="215">
        <f t="shared" si="1"/>
        <v>5549</v>
      </c>
      <c r="G14" s="215">
        <f t="shared" si="1"/>
        <v>8664</v>
      </c>
      <c r="H14" s="215">
        <f t="shared" si="1"/>
        <v>2053</v>
      </c>
      <c r="I14" s="215">
        <f t="shared" si="1"/>
        <v>2245</v>
      </c>
      <c r="J14" s="215">
        <f t="shared" si="1"/>
        <v>2548</v>
      </c>
      <c r="K14" s="215">
        <f t="shared" si="1"/>
        <v>4007</v>
      </c>
      <c r="L14" s="215">
        <f t="shared" si="1"/>
        <v>3966</v>
      </c>
      <c r="M14" s="172">
        <f>SUM(B14:L14)</f>
        <v>37982</v>
      </c>
      <c r="N14" s="150"/>
      <c r="O14" s="139"/>
      <c r="P14" s="150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</row>
    <row r="15" spans="1:30" ht="12">
      <c r="A15" s="245" t="s">
        <v>115</v>
      </c>
      <c r="B15" s="215">
        <f t="shared" si="1"/>
        <v>592</v>
      </c>
      <c r="C15" s="215">
        <f t="shared" si="1"/>
        <v>1040</v>
      </c>
      <c r="D15" s="215">
        <f t="shared" si="1"/>
        <v>320</v>
      </c>
      <c r="E15" s="215">
        <f t="shared" si="1"/>
        <v>374</v>
      </c>
      <c r="F15" s="215">
        <f t="shared" si="1"/>
        <v>1956</v>
      </c>
      <c r="G15" s="215">
        <f t="shared" si="1"/>
        <v>2120</v>
      </c>
      <c r="H15" s="215">
        <f t="shared" si="1"/>
        <v>460</v>
      </c>
      <c r="I15" s="215">
        <f t="shared" si="1"/>
        <v>279</v>
      </c>
      <c r="J15" s="215">
        <f t="shared" si="1"/>
        <v>648</v>
      </c>
      <c r="K15" s="215">
        <f t="shared" si="1"/>
        <v>1065</v>
      </c>
      <c r="L15" s="215">
        <f t="shared" si="1"/>
        <v>702</v>
      </c>
      <c r="M15" s="172">
        <f>SUM(B15:L15)</f>
        <v>9556</v>
      </c>
      <c r="N15" s="164"/>
      <c r="O15" s="161"/>
      <c r="P15" s="164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</row>
    <row r="16" spans="1:58" ht="12">
      <c r="A16" s="245" t="s">
        <v>107</v>
      </c>
      <c r="B16" s="215">
        <f t="shared" si="1"/>
        <v>2310</v>
      </c>
      <c r="C16" s="215">
        <f t="shared" si="1"/>
        <v>5842</v>
      </c>
      <c r="D16" s="215">
        <f t="shared" si="1"/>
        <v>1781</v>
      </c>
      <c r="E16" s="215">
        <f t="shared" si="1"/>
        <v>1343</v>
      </c>
      <c r="F16" s="215">
        <f t="shared" si="1"/>
        <v>7505</v>
      </c>
      <c r="G16" s="215">
        <f t="shared" si="1"/>
        <v>10784</v>
      </c>
      <c r="H16" s="215">
        <f t="shared" si="1"/>
        <v>2513</v>
      </c>
      <c r="I16" s="215">
        <f t="shared" si="1"/>
        <v>2524</v>
      </c>
      <c r="J16" s="215">
        <f t="shared" si="1"/>
        <v>3196</v>
      </c>
      <c r="K16" s="215">
        <f t="shared" si="1"/>
        <v>5072</v>
      </c>
      <c r="L16" s="215">
        <f t="shared" si="1"/>
        <v>4668</v>
      </c>
      <c r="M16" s="217">
        <f>+M14+M15</f>
        <v>47538</v>
      </c>
      <c r="N16" s="158"/>
      <c r="O16" s="150"/>
      <c r="P16" s="150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</row>
    <row r="17" spans="1:30" ht="12">
      <c r="A17" s="244" t="s">
        <v>117</v>
      </c>
      <c r="B17" s="169"/>
      <c r="C17" s="215"/>
      <c r="D17" s="215"/>
      <c r="E17" s="215"/>
      <c r="F17" s="169"/>
      <c r="G17" s="169"/>
      <c r="H17" s="169"/>
      <c r="I17" s="169"/>
      <c r="J17" s="172"/>
      <c r="K17" s="215"/>
      <c r="L17" s="172"/>
      <c r="M17" s="172"/>
      <c r="N17" s="163"/>
      <c r="O17" s="163"/>
      <c r="P17" s="163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</row>
    <row r="18" spans="1:30" ht="12">
      <c r="A18" s="245" t="s">
        <v>105</v>
      </c>
      <c r="B18" s="215">
        <f aca="true" t="shared" si="2" ref="B18:L20">+B39+B60</f>
        <v>683</v>
      </c>
      <c r="C18" s="215">
        <f t="shared" si="2"/>
        <v>2473</v>
      </c>
      <c r="D18" s="215">
        <f t="shared" si="2"/>
        <v>734</v>
      </c>
      <c r="E18" s="215">
        <f t="shared" si="2"/>
        <v>0</v>
      </c>
      <c r="F18" s="215">
        <f t="shared" si="2"/>
        <v>2896</v>
      </c>
      <c r="G18" s="215">
        <f t="shared" si="2"/>
        <v>3447</v>
      </c>
      <c r="H18" s="215">
        <f t="shared" si="2"/>
        <v>1109</v>
      </c>
      <c r="I18" s="215">
        <f t="shared" si="2"/>
        <v>150</v>
      </c>
      <c r="J18" s="215">
        <f t="shared" si="2"/>
        <v>1127</v>
      </c>
      <c r="K18" s="215">
        <f t="shared" si="2"/>
        <v>1321</v>
      </c>
      <c r="L18" s="215">
        <f t="shared" si="2"/>
        <v>1757</v>
      </c>
      <c r="M18" s="172">
        <f>SUM(B18:L18)</f>
        <v>15697</v>
      </c>
      <c r="N18" s="177"/>
      <c r="O18" s="177"/>
      <c r="P18" s="177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</row>
    <row r="19" spans="1:30" ht="12">
      <c r="A19" s="245" t="s">
        <v>115</v>
      </c>
      <c r="B19" s="215">
        <f t="shared" si="2"/>
        <v>106</v>
      </c>
      <c r="C19" s="215">
        <f t="shared" si="2"/>
        <v>372</v>
      </c>
      <c r="D19" s="215">
        <f t="shared" si="2"/>
        <v>87</v>
      </c>
      <c r="E19" s="215">
        <f t="shared" si="2"/>
        <v>6</v>
      </c>
      <c r="F19" s="215">
        <f t="shared" si="2"/>
        <v>876</v>
      </c>
      <c r="G19" s="215">
        <f t="shared" si="2"/>
        <v>991</v>
      </c>
      <c r="H19" s="215">
        <f t="shared" si="2"/>
        <v>173</v>
      </c>
      <c r="I19" s="215">
        <f t="shared" si="2"/>
        <v>12</v>
      </c>
      <c r="J19" s="215">
        <f t="shared" si="2"/>
        <v>356</v>
      </c>
      <c r="K19" s="215">
        <f t="shared" si="2"/>
        <v>254</v>
      </c>
      <c r="L19" s="215">
        <f t="shared" si="2"/>
        <v>367</v>
      </c>
      <c r="M19" s="172">
        <f>SUM(B19:L19)</f>
        <v>3600</v>
      </c>
      <c r="N19" s="150"/>
      <c r="O19" s="150"/>
      <c r="P19" s="150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</row>
    <row r="20" spans="1:58" ht="12">
      <c r="A20" s="245" t="s">
        <v>107</v>
      </c>
      <c r="B20" s="215">
        <f t="shared" si="2"/>
        <v>789</v>
      </c>
      <c r="C20" s="215">
        <f t="shared" si="2"/>
        <v>2845</v>
      </c>
      <c r="D20" s="215">
        <f t="shared" si="2"/>
        <v>821</v>
      </c>
      <c r="E20" s="215">
        <f t="shared" si="2"/>
        <v>6</v>
      </c>
      <c r="F20" s="215">
        <f t="shared" si="2"/>
        <v>3772</v>
      </c>
      <c r="G20" s="215">
        <f t="shared" si="2"/>
        <v>4438</v>
      </c>
      <c r="H20" s="215">
        <f t="shared" si="2"/>
        <v>1282</v>
      </c>
      <c r="I20" s="215">
        <f t="shared" si="2"/>
        <v>162</v>
      </c>
      <c r="J20" s="215">
        <f t="shared" si="2"/>
        <v>1483</v>
      </c>
      <c r="K20" s="215">
        <f t="shared" si="2"/>
        <v>1575</v>
      </c>
      <c r="L20" s="215">
        <f t="shared" si="2"/>
        <v>2124</v>
      </c>
      <c r="M20" s="217">
        <f>+M18+M19</f>
        <v>19297</v>
      </c>
      <c r="N20" s="158"/>
      <c r="O20" s="150"/>
      <c r="P20" s="150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</row>
    <row r="21" spans="1:30" ht="12">
      <c r="A21" s="244" t="s">
        <v>111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72"/>
      <c r="N21" s="150"/>
      <c r="O21" s="150"/>
      <c r="P21" s="150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</row>
    <row r="22" spans="1:16" ht="12">
      <c r="A22" s="245" t="s">
        <v>105</v>
      </c>
      <c r="B22" s="215">
        <f aca="true" t="shared" si="3" ref="B22:M23">B43+B64</f>
        <v>405</v>
      </c>
      <c r="C22" s="215">
        <f t="shared" si="3"/>
        <v>0</v>
      </c>
      <c r="D22" s="215">
        <f t="shared" si="3"/>
        <v>1574</v>
      </c>
      <c r="E22" s="215">
        <f t="shared" si="3"/>
        <v>5117</v>
      </c>
      <c r="F22" s="215">
        <f t="shared" si="3"/>
        <v>898</v>
      </c>
      <c r="G22" s="215">
        <f t="shared" si="3"/>
        <v>44</v>
      </c>
      <c r="H22" s="215">
        <f t="shared" si="3"/>
        <v>0</v>
      </c>
      <c r="I22" s="215">
        <f t="shared" si="3"/>
        <v>2785</v>
      </c>
      <c r="J22" s="215">
        <f t="shared" si="3"/>
        <v>1307</v>
      </c>
      <c r="K22" s="215">
        <f t="shared" si="3"/>
        <v>0</v>
      </c>
      <c r="L22" s="215">
        <f t="shared" si="3"/>
        <v>0</v>
      </c>
      <c r="M22" s="215">
        <f t="shared" si="3"/>
        <v>12130</v>
      </c>
      <c r="N22" s="181"/>
      <c r="O22" s="181"/>
      <c r="P22" s="181"/>
    </row>
    <row r="23" spans="1:16" ht="12">
      <c r="A23" s="245" t="s">
        <v>115</v>
      </c>
      <c r="B23" s="215">
        <f t="shared" si="3"/>
        <v>219</v>
      </c>
      <c r="C23" s="215">
        <f t="shared" si="3"/>
        <v>0</v>
      </c>
      <c r="D23" s="215">
        <f t="shared" si="3"/>
        <v>435</v>
      </c>
      <c r="E23" s="215">
        <f t="shared" si="3"/>
        <v>1678</v>
      </c>
      <c r="F23" s="215">
        <f t="shared" si="3"/>
        <v>348</v>
      </c>
      <c r="G23" s="215">
        <f t="shared" si="3"/>
        <v>0</v>
      </c>
      <c r="H23" s="215">
        <f t="shared" si="3"/>
        <v>0</v>
      </c>
      <c r="I23" s="215">
        <f t="shared" si="3"/>
        <v>569</v>
      </c>
      <c r="J23" s="215">
        <f t="shared" si="3"/>
        <v>329</v>
      </c>
      <c r="K23" s="215">
        <f t="shared" si="3"/>
        <v>0</v>
      </c>
      <c r="L23" s="215">
        <f t="shared" si="3"/>
        <v>0</v>
      </c>
      <c r="M23" s="215">
        <f t="shared" si="3"/>
        <v>3578</v>
      </c>
      <c r="N23" s="181"/>
      <c r="O23" s="181"/>
      <c r="P23" s="181"/>
    </row>
    <row r="24" spans="1:58" ht="12">
      <c r="A24" s="245" t="s">
        <v>107</v>
      </c>
      <c r="B24" s="215">
        <f>B22+B23</f>
        <v>624</v>
      </c>
      <c r="C24" s="215">
        <f aca="true" t="shared" si="4" ref="C24:L24">C22+C23</f>
        <v>0</v>
      </c>
      <c r="D24" s="215">
        <f t="shared" si="4"/>
        <v>2009</v>
      </c>
      <c r="E24" s="215">
        <f t="shared" si="4"/>
        <v>6795</v>
      </c>
      <c r="F24" s="215">
        <f t="shared" si="4"/>
        <v>1246</v>
      </c>
      <c r="G24" s="215">
        <f t="shared" si="4"/>
        <v>44</v>
      </c>
      <c r="H24" s="215">
        <f t="shared" si="4"/>
        <v>0</v>
      </c>
      <c r="I24" s="215">
        <f t="shared" si="4"/>
        <v>3354</v>
      </c>
      <c r="J24" s="215">
        <f t="shared" si="4"/>
        <v>1636</v>
      </c>
      <c r="K24" s="215">
        <f t="shared" si="4"/>
        <v>0</v>
      </c>
      <c r="L24" s="215">
        <f t="shared" si="4"/>
        <v>0</v>
      </c>
      <c r="M24" s="217">
        <f>+M22+M23</f>
        <v>15708</v>
      </c>
      <c r="N24" s="158"/>
      <c r="O24" s="150"/>
      <c r="P24" s="150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</row>
    <row r="25" spans="1:13" s="135" customFormat="1" ht="12">
      <c r="A25" s="244" t="s">
        <v>112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51"/>
    </row>
    <row r="26" spans="1:58" s="120" customFormat="1" ht="12">
      <c r="A26" s="245" t="s">
        <v>105</v>
      </c>
      <c r="B26" s="223">
        <f>+B22+B18+B14+B10</f>
        <v>2806</v>
      </c>
      <c r="C26" s="223">
        <f aca="true" t="shared" si="5" ref="C26:M27">+C22+C18+C14+C10</f>
        <v>7275</v>
      </c>
      <c r="D26" s="223">
        <f t="shared" si="5"/>
        <v>3771</v>
      </c>
      <c r="E26" s="223">
        <f t="shared" si="5"/>
        <v>6086</v>
      </c>
      <c r="F26" s="223">
        <f t="shared" si="5"/>
        <v>9343</v>
      </c>
      <c r="G26" s="223">
        <f t="shared" si="5"/>
        <v>12155</v>
      </c>
      <c r="H26" s="223">
        <f t="shared" si="5"/>
        <v>3162</v>
      </c>
      <c r="I26" s="223">
        <f t="shared" si="5"/>
        <v>5180</v>
      </c>
      <c r="J26" s="223">
        <f t="shared" si="5"/>
        <v>4982</v>
      </c>
      <c r="K26" s="223">
        <f t="shared" si="5"/>
        <v>5328</v>
      </c>
      <c r="L26" s="223">
        <f t="shared" si="5"/>
        <v>5724</v>
      </c>
      <c r="M26" s="223">
        <f t="shared" si="5"/>
        <v>65812</v>
      </c>
      <c r="N26" s="150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</row>
    <row r="27" spans="1:58" ht="12">
      <c r="A27" s="245" t="s">
        <v>115</v>
      </c>
      <c r="B27" s="223">
        <f>+B23+B19+B15+B11</f>
        <v>950</v>
      </c>
      <c r="C27" s="223">
        <f t="shared" si="5"/>
        <v>1473</v>
      </c>
      <c r="D27" s="223">
        <f t="shared" si="5"/>
        <v>885</v>
      </c>
      <c r="E27" s="223">
        <f t="shared" si="5"/>
        <v>2325</v>
      </c>
      <c r="F27" s="223">
        <f t="shared" si="5"/>
        <v>3330</v>
      </c>
      <c r="G27" s="223">
        <f t="shared" si="5"/>
        <v>3358</v>
      </c>
      <c r="H27" s="223">
        <f t="shared" si="5"/>
        <v>684</v>
      </c>
      <c r="I27" s="223">
        <f t="shared" si="5"/>
        <v>926</v>
      </c>
      <c r="J27" s="223">
        <f t="shared" si="5"/>
        <v>1396</v>
      </c>
      <c r="K27" s="223">
        <f t="shared" si="5"/>
        <v>1372</v>
      </c>
      <c r="L27" s="223">
        <f t="shared" si="5"/>
        <v>1168</v>
      </c>
      <c r="M27" s="223">
        <f t="shared" si="5"/>
        <v>17867</v>
      </c>
      <c r="N27" s="150"/>
      <c r="O27" s="150"/>
      <c r="P27" s="150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</row>
    <row r="28" spans="1:58" ht="12">
      <c r="A28" s="245" t="s">
        <v>107</v>
      </c>
      <c r="B28" s="217">
        <f aca="true" t="shared" si="6" ref="B28:L28">+B26+B27</f>
        <v>3756</v>
      </c>
      <c r="C28" s="217">
        <f t="shared" si="6"/>
        <v>8748</v>
      </c>
      <c r="D28" s="217">
        <f t="shared" si="6"/>
        <v>4656</v>
      </c>
      <c r="E28" s="217">
        <f t="shared" si="6"/>
        <v>8411</v>
      </c>
      <c r="F28" s="217">
        <f t="shared" si="6"/>
        <v>12673</v>
      </c>
      <c r="G28" s="217">
        <f t="shared" si="6"/>
        <v>15513</v>
      </c>
      <c r="H28" s="217">
        <f t="shared" si="6"/>
        <v>3846</v>
      </c>
      <c r="I28" s="217">
        <f t="shared" si="6"/>
        <v>6106</v>
      </c>
      <c r="J28" s="217">
        <f t="shared" si="6"/>
        <v>6378</v>
      </c>
      <c r="K28" s="217">
        <f t="shared" si="6"/>
        <v>6700</v>
      </c>
      <c r="L28" s="217">
        <f t="shared" si="6"/>
        <v>6892</v>
      </c>
      <c r="M28" s="217">
        <f>+M26+M27</f>
        <v>83679</v>
      </c>
      <c r="N28" s="150"/>
      <c r="O28" s="150"/>
      <c r="P28" s="150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</row>
    <row r="29" spans="1:58" ht="12">
      <c r="A29" s="135"/>
      <c r="B29" s="218"/>
      <c r="C29" s="218"/>
      <c r="D29" s="196"/>
      <c r="E29" s="218"/>
      <c r="F29" s="218" t="s">
        <v>114</v>
      </c>
      <c r="G29" s="218"/>
      <c r="H29" s="218"/>
      <c r="I29" s="218"/>
      <c r="J29" s="218"/>
      <c r="K29" s="196"/>
      <c r="L29" s="218"/>
      <c r="M29" s="218"/>
      <c r="N29" s="158"/>
      <c r="O29" s="150"/>
      <c r="P29" s="150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6"/>
      <c r="AU29" s="246"/>
      <c r="AV29" s="246"/>
      <c r="AW29" s="246"/>
      <c r="AX29" s="246"/>
      <c r="AY29" s="246"/>
      <c r="AZ29" s="246"/>
      <c r="BA29" s="246"/>
      <c r="BB29" s="246"/>
      <c r="BC29" s="246"/>
      <c r="BD29" s="246"/>
      <c r="BE29" s="246"/>
      <c r="BF29" s="246"/>
    </row>
    <row r="30" spans="1:58" s="250" customFormat="1" ht="12">
      <c r="A30" s="244" t="s">
        <v>104</v>
      </c>
      <c r="B30" s="215"/>
      <c r="C30" s="215"/>
      <c r="D30" s="169"/>
      <c r="E30" s="169"/>
      <c r="F30" s="169"/>
      <c r="G30" s="169"/>
      <c r="H30" s="215"/>
      <c r="I30" s="169"/>
      <c r="J30" s="169"/>
      <c r="K30" s="215"/>
      <c r="L30" s="169"/>
      <c r="M30" s="172"/>
      <c r="N30" s="164"/>
      <c r="O30" s="150"/>
      <c r="P30" s="150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249"/>
      <c r="AZ30" s="249"/>
      <c r="BA30" s="249"/>
      <c r="BB30" s="249"/>
      <c r="BC30" s="249"/>
      <c r="BD30" s="249"/>
      <c r="BE30" s="249"/>
      <c r="BF30" s="249"/>
    </row>
    <row r="31" spans="1:58" ht="13.5" customHeight="1">
      <c r="A31" s="245" t="s">
        <v>105</v>
      </c>
      <c r="B31" s="37">
        <v>0</v>
      </c>
      <c r="C31" s="37">
        <v>0</v>
      </c>
      <c r="D31" s="37">
        <v>1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1</v>
      </c>
      <c r="M31" s="172">
        <f>SUM(B31:L31)</f>
        <v>2</v>
      </c>
      <c r="N31" s="167"/>
      <c r="O31" s="167"/>
      <c r="P31" s="167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</row>
    <row r="32" spans="1:30" ht="12">
      <c r="A32" s="245" t="s">
        <v>115</v>
      </c>
      <c r="B32" s="37">
        <v>19</v>
      </c>
      <c r="C32" s="37">
        <v>31</v>
      </c>
      <c r="D32" s="37">
        <v>10</v>
      </c>
      <c r="E32" s="37">
        <v>94</v>
      </c>
      <c r="F32" s="37">
        <v>122</v>
      </c>
      <c r="G32" s="37">
        <v>96</v>
      </c>
      <c r="H32" s="37">
        <v>1</v>
      </c>
      <c r="I32" s="37">
        <v>41</v>
      </c>
      <c r="J32" s="37">
        <v>7</v>
      </c>
      <c r="K32" s="37">
        <v>25</v>
      </c>
      <c r="L32" s="37">
        <v>33</v>
      </c>
      <c r="M32" s="172">
        <f>SUM(B32:L32)</f>
        <v>479</v>
      </c>
      <c r="N32" s="167"/>
      <c r="O32" s="167"/>
      <c r="P32" s="167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</row>
    <row r="33" spans="1:58" ht="12">
      <c r="A33" s="245" t="s">
        <v>107</v>
      </c>
      <c r="B33" s="217">
        <f aca="true" t="shared" si="7" ref="B33:M33">+B31+B32</f>
        <v>19</v>
      </c>
      <c r="C33" s="217">
        <f t="shared" si="7"/>
        <v>31</v>
      </c>
      <c r="D33" s="217">
        <f t="shared" si="7"/>
        <v>11</v>
      </c>
      <c r="E33" s="217">
        <f t="shared" si="7"/>
        <v>94</v>
      </c>
      <c r="F33" s="217">
        <f t="shared" si="7"/>
        <v>122</v>
      </c>
      <c r="G33" s="217">
        <f t="shared" si="7"/>
        <v>96</v>
      </c>
      <c r="H33" s="217">
        <f t="shared" si="7"/>
        <v>1</v>
      </c>
      <c r="I33" s="217">
        <f t="shared" si="7"/>
        <v>41</v>
      </c>
      <c r="J33" s="217">
        <f t="shared" si="7"/>
        <v>7</v>
      </c>
      <c r="K33" s="217">
        <f t="shared" si="7"/>
        <v>25</v>
      </c>
      <c r="L33" s="217">
        <f t="shared" si="7"/>
        <v>34</v>
      </c>
      <c r="M33" s="217">
        <f t="shared" si="7"/>
        <v>481</v>
      </c>
      <c r="N33" s="158"/>
      <c r="O33" s="150"/>
      <c r="P33" s="150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</row>
    <row r="34" spans="1:30" ht="12">
      <c r="A34" s="244" t="s">
        <v>109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72"/>
      <c r="N34" s="171"/>
      <c r="O34" s="171"/>
      <c r="P34" s="171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</row>
    <row r="35" spans="1:30" ht="12">
      <c r="A35" s="245" t="s">
        <v>105</v>
      </c>
      <c r="B35" s="223">
        <v>1032</v>
      </c>
      <c r="C35" s="223">
        <v>2679</v>
      </c>
      <c r="D35" s="37">
        <v>879</v>
      </c>
      <c r="E35" s="37">
        <v>338</v>
      </c>
      <c r="F35" s="223">
        <v>4119</v>
      </c>
      <c r="G35" s="223">
        <v>3141</v>
      </c>
      <c r="H35" s="37">
        <v>441</v>
      </c>
      <c r="I35" s="37">
        <v>560</v>
      </c>
      <c r="J35" s="37">
        <v>420</v>
      </c>
      <c r="K35" s="223">
        <v>2573</v>
      </c>
      <c r="L35" s="223">
        <v>1384</v>
      </c>
      <c r="M35" s="172">
        <f>SUM(B35:L35)</f>
        <v>17566</v>
      </c>
      <c r="N35" s="150"/>
      <c r="O35" s="150"/>
      <c r="P35" s="150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</row>
    <row r="36" spans="1:30" ht="12">
      <c r="A36" s="245" t="s">
        <v>115</v>
      </c>
      <c r="B36" s="37">
        <v>373</v>
      </c>
      <c r="C36" s="37">
        <v>615</v>
      </c>
      <c r="D36" s="37">
        <v>169</v>
      </c>
      <c r="E36" s="37">
        <v>141</v>
      </c>
      <c r="F36" s="37">
        <v>1490</v>
      </c>
      <c r="G36" s="37">
        <v>828</v>
      </c>
      <c r="H36" s="37">
        <v>100</v>
      </c>
      <c r="I36" s="37">
        <v>120</v>
      </c>
      <c r="J36" s="37">
        <v>110</v>
      </c>
      <c r="K36" s="37">
        <v>743</v>
      </c>
      <c r="L36" s="37">
        <v>313</v>
      </c>
      <c r="M36" s="172">
        <f>SUM(B36:L36)</f>
        <v>5002</v>
      </c>
      <c r="N36" s="164"/>
      <c r="O36" s="164"/>
      <c r="P36" s="164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</row>
    <row r="37" spans="1:58" ht="12">
      <c r="A37" s="245" t="s">
        <v>107</v>
      </c>
      <c r="B37" s="217">
        <f aca="true" t="shared" si="8" ref="B37:M37">+B35+B36</f>
        <v>1405</v>
      </c>
      <c r="C37" s="217">
        <f>+C35+C36</f>
        <v>3294</v>
      </c>
      <c r="D37" s="217">
        <f t="shared" si="8"/>
        <v>1048</v>
      </c>
      <c r="E37" s="217">
        <f t="shared" si="8"/>
        <v>479</v>
      </c>
      <c r="F37" s="217">
        <f t="shared" si="8"/>
        <v>5609</v>
      </c>
      <c r="G37" s="217">
        <f t="shared" si="8"/>
        <v>3969</v>
      </c>
      <c r="H37" s="217">
        <f t="shared" si="8"/>
        <v>541</v>
      </c>
      <c r="I37" s="217">
        <f t="shared" si="8"/>
        <v>680</v>
      </c>
      <c r="J37" s="217">
        <f t="shared" si="8"/>
        <v>530</v>
      </c>
      <c r="K37" s="217">
        <f t="shared" si="8"/>
        <v>3316</v>
      </c>
      <c r="L37" s="217">
        <f t="shared" si="8"/>
        <v>1697</v>
      </c>
      <c r="M37" s="217">
        <f t="shared" si="8"/>
        <v>22568</v>
      </c>
      <c r="N37" s="158"/>
      <c r="O37" s="150"/>
      <c r="P37" s="150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  <c r="BC37" s="246"/>
      <c r="BD37" s="246"/>
      <c r="BE37" s="246"/>
      <c r="BF37" s="246"/>
    </row>
    <row r="38" spans="1:58" ht="12">
      <c r="A38" s="244" t="s">
        <v>117</v>
      </c>
      <c r="B38" s="169"/>
      <c r="C38" s="215"/>
      <c r="D38" s="215"/>
      <c r="E38" s="215"/>
      <c r="F38" s="169"/>
      <c r="G38" s="169"/>
      <c r="H38" s="169"/>
      <c r="I38" s="169"/>
      <c r="J38" s="172"/>
      <c r="K38" s="215"/>
      <c r="L38" s="172"/>
      <c r="M38" s="172"/>
      <c r="N38" s="158"/>
      <c r="O38" s="150"/>
      <c r="P38" s="150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246"/>
      <c r="BA38" s="246"/>
      <c r="BB38" s="246"/>
      <c r="BC38" s="246"/>
      <c r="BD38" s="246"/>
      <c r="BE38" s="246"/>
      <c r="BF38" s="246"/>
    </row>
    <row r="39" spans="1:58" ht="12">
      <c r="A39" s="245" t="s">
        <v>105</v>
      </c>
      <c r="B39" s="37">
        <v>373</v>
      </c>
      <c r="C39" s="37">
        <v>1308</v>
      </c>
      <c r="D39" s="37">
        <v>384</v>
      </c>
      <c r="E39" s="37">
        <v>0</v>
      </c>
      <c r="F39" s="223">
        <v>2123</v>
      </c>
      <c r="G39" s="37">
        <v>1243</v>
      </c>
      <c r="H39" s="37">
        <v>172</v>
      </c>
      <c r="I39" s="37">
        <v>38</v>
      </c>
      <c r="J39" s="37">
        <v>172</v>
      </c>
      <c r="K39" s="37">
        <v>735</v>
      </c>
      <c r="L39" s="37">
        <v>590</v>
      </c>
      <c r="M39" s="172">
        <f>SUM(B39:L39)</f>
        <v>7138</v>
      </c>
      <c r="N39" s="158"/>
      <c r="O39" s="150"/>
      <c r="P39" s="150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  <c r="BA39" s="246"/>
      <c r="BB39" s="246"/>
      <c r="BC39" s="246"/>
      <c r="BD39" s="246"/>
      <c r="BE39" s="246"/>
      <c r="BF39" s="246"/>
    </row>
    <row r="40" spans="1:58" ht="12">
      <c r="A40" s="245" t="s">
        <v>115</v>
      </c>
      <c r="B40" s="37">
        <v>67</v>
      </c>
      <c r="C40" s="37">
        <v>196</v>
      </c>
      <c r="D40" s="37">
        <v>40</v>
      </c>
      <c r="E40" s="37">
        <v>3</v>
      </c>
      <c r="F40" s="37">
        <v>670</v>
      </c>
      <c r="G40" s="37">
        <v>376</v>
      </c>
      <c r="H40" s="37">
        <v>28</v>
      </c>
      <c r="I40" s="37">
        <v>4</v>
      </c>
      <c r="J40" s="37">
        <v>50</v>
      </c>
      <c r="K40" s="37">
        <v>176</v>
      </c>
      <c r="L40" s="37">
        <v>128</v>
      </c>
      <c r="M40" s="172">
        <f>SUM(B40:L40)</f>
        <v>1738</v>
      </c>
      <c r="N40" s="158"/>
      <c r="O40" s="150"/>
      <c r="P40" s="150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</row>
    <row r="41" spans="1:58" ht="12">
      <c r="A41" s="245" t="s">
        <v>107</v>
      </c>
      <c r="B41" s="217">
        <f aca="true" t="shared" si="9" ref="B41:M41">+B39+B40</f>
        <v>440</v>
      </c>
      <c r="C41" s="217">
        <f t="shared" si="9"/>
        <v>1504</v>
      </c>
      <c r="D41" s="217">
        <f t="shared" si="9"/>
        <v>424</v>
      </c>
      <c r="E41" s="217">
        <f t="shared" si="9"/>
        <v>3</v>
      </c>
      <c r="F41" s="217">
        <f t="shared" si="9"/>
        <v>2793</v>
      </c>
      <c r="G41" s="217">
        <f t="shared" si="9"/>
        <v>1619</v>
      </c>
      <c r="H41" s="217">
        <f t="shared" si="9"/>
        <v>200</v>
      </c>
      <c r="I41" s="217">
        <f t="shared" si="9"/>
        <v>42</v>
      </c>
      <c r="J41" s="217">
        <f t="shared" si="9"/>
        <v>222</v>
      </c>
      <c r="K41" s="217">
        <f t="shared" si="9"/>
        <v>911</v>
      </c>
      <c r="L41" s="217">
        <f t="shared" si="9"/>
        <v>718</v>
      </c>
      <c r="M41" s="217">
        <f t="shared" si="9"/>
        <v>8876</v>
      </c>
      <c r="N41" s="158"/>
      <c r="O41" s="150"/>
      <c r="P41" s="150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</row>
    <row r="42" spans="1:30" ht="12">
      <c r="A42" s="244" t="s">
        <v>111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72"/>
      <c r="N42" s="150"/>
      <c r="O42" s="150"/>
      <c r="P42" s="150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</row>
    <row r="43" spans="1:16" ht="12">
      <c r="A43" s="245" t="s">
        <v>105</v>
      </c>
      <c r="B43" s="37">
        <v>113</v>
      </c>
      <c r="C43" s="37">
        <v>0</v>
      </c>
      <c r="D43" s="37">
        <v>417</v>
      </c>
      <c r="E43" s="37">
        <v>1808</v>
      </c>
      <c r="F43" s="37">
        <v>401</v>
      </c>
      <c r="G43" s="37">
        <v>4</v>
      </c>
      <c r="H43" s="37">
        <v>0</v>
      </c>
      <c r="I43" s="37">
        <v>1303</v>
      </c>
      <c r="J43" s="37">
        <v>101</v>
      </c>
      <c r="K43" s="37">
        <v>0</v>
      </c>
      <c r="L43" s="37">
        <v>0</v>
      </c>
      <c r="M43" s="172">
        <f>SUM(B43:L43)</f>
        <v>4147</v>
      </c>
      <c r="N43" s="181"/>
      <c r="O43" s="181"/>
      <c r="P43" s="181"/>
    </row>
    <row r="44" spans="1:16" ht="12">
      <c r="A44" s="245" t="s">
        <v>115</v>
      </c>
      <c r="B44" s="37">
        <v>61</v>
      </c>
      <c r="C44" s="37">
        <v>0</v>
      </c>
      <c r="D44" s="37">
        <v>109</v>
      </c>
      <c r="E44" s="37">
        <v>653</v>
      </c>
      <c r="F44" s="37">
        <v>167</v>
      </c>
      <c r="G44" s="37">
        <v>0</v>
      </c>
      <c r="H44" s="37">
        <v>0</v>
      </c>
      <c r="I44" s="37">
        <v>245</v>
      </c>
      <c r="J44" s="37">
        <v>18</v>
      </c>
      <c r="K44" s="37">
        <v>0</v>
      </c>
      <c r="L44" s="37">
        <v>0</v>
      </c>
      <c r="M44" s="172">
        <f>SUM(B44:L44)</f>
        <v>1253</v>
      </c>
      <c r="N44" s="181"/>
      <c r="O44" s="181"/>
      <c r="P44" s="181"/>
    </row>
    <row r="45" spans="1:72" ht="12">
      <c r="A45" s="245" t="s">
        <v>107</v>
      </c>
      <c r="B45" s="217">
        <f aca="true" t="shared" si="10" ref="B45:M45">+B43+B44</f>
        <v>174</v>
      </c>
      <c r="C45" s="217">
        <f t="shared" si="10"/>
        <v>0</v>
      </c>
      <c r="D45" s="217">
        <f t="shared" si="10"/>
        <v>526</v>
      </c>
      <c r="E45" s="217">
        <f t="shared" si="10"/>
        <v>2461</v>
      </c>
      <c r="F45" s="217">
        <f t="shared" si="10"/>
        <v>568</v>
      </c>
      <c r="G45" s="217">
        <f t="shared" si="10"/>
        <v>4</v>
      </c>
      <c r="H45" s="217">
        <f t="shared" si="10"/>
        <v>0</v>
      </c>
      <c r="I45" s="217">
        <f t="shared" si="10"/>
        <v>1548</v>
      </c>
      <c r="J45" s="217">
        <f t="shared" si="10"/>
        <v>119</v>
      </c>
      <c r="K45" s="217">
        <f t="shared" si="10"/>
        <v>0</v>
      </c>
      <c r="L45" s="217">
        <f t="shared" si="10"/>
        <v>0</v>
      </c>
      <c r="M45" s="217">
        <f t="shared" si="10"/>
        <v>5400</v>
      </c>
      <c r="N45" s="158"/>
      <c r="O45" s="150"/>
      <c r="P45" s="150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6"/>
      <c r="BP45" s="246"/>
      <c r="BQ45" s="246"/>
      <c r="BR45" s="246"/>
      <c r="BS45" s="246"/>
      <c r="BT45" s="246"/>
    </row>
    <row r="46" spans="1:13" s="135" customFormat="1" ht="12">
      <c r="A46" s="244" t="s">
        <v>112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51"/>
    </row>
    <row r="47" spans="1:13" s="135" customFormat="1" ht="12">
      <c r="A47" s="245" t="s">
        <v>105</v>
      </c>
      <c r="B47" s="223">
        <f>+B43+B39+B35+B31</f>
        <v>1518</v>
      </c>
      <c r="C47" s="223">
        <f aca="true" t="shared" si="11" ref="C47:M48">+C43+C39+C35+C31</f>
        <v>3987</v>
      </c>
      <c r="D47" s="223">
        <f t="shared" si="11"/>
        <v>1681</v>
      </c>
      <c r="E47" s="223">
        <f t="shared" si="11"/>
        <v>2146</v>
      </c>
      <c r="F47" s="223">
        <f t="shared" si="11"/>
        <v>6643</v>
      </c>
      <c r="G47" s="223">
        <f t="shared" si="11"/>
        <v>4388</v>
      </c>
      <c r="H47" s="223">
        <f t="shared" si="11"/>
        <v>613</v>
      </c>
      <c r="I47" s="223">
        <f t="shared" si="11"/>
        <v>1901</v>
      </c>
      <c r="J47" s="223">
        <f t="shared" si="11"/>
        <v>693</v>
      </c>
      <c r="K47" s="223">
        <f t="shared" si="11"/>
        <v>3308</v>
      </c>
      <c r="L47" s="223">
        <f t="shared" si="11"/>
        <v>1975</v>
      </c>
      <c r="M47" s="223">
        <f t="shared" si="11"/>
        <v>28853</v>
      </c>
    </row>
    <row r="48" spans="1:13" s="135" customFormat="1" ht="12">
      <c r="A48" s="245" t="s">
        <v>115</v>
      </c>
      <c r="B48" s="223">
        <f>+B44+B40+B36+B32</f>
        <v>520</v>
      </c>
      <c r="C48" s="223">
        <f t="shared" si="11"/>
        <v>842</v>
      </c>
      <c r="D48" s="223">
        <f t="shared" si="11"/>
        <v>328</v>
      </c>
      <c r="E48" s="223">
        <f t="shared" si="11"/>
        <v>891</v>
      </c>
      <c r="F48" s="223">
        <f t="shared" si="11"/>
        <v>2449</v>
      </c>
      <c r="G48" s="223">
        <f t="shared" si="11"/>
        <v>1300</v>
      </c>
      <c r="H48" s="223">
        <f t="shared" si="11"/>
        <v>129</v>
      </c>
      <c r="I48" s="223">
        <f t="shared" si="11"/>
        <v>410</v>
      </c>
      <c r="J48" s="223">
        <f t="shared" si="11"/>
        <v>185</v>
      </c>
      <c r="K48" s="223">
        <f t="shared" si="11"/>
        <v>944</v>
      </c>
      <c r="L48" s="223">
        <f t="shared" si="11"/>
        <v>474</v>
      </c>
      <c r="M48" s="223">
        <f t="shared" si="11"/>
        <v>8472</v>
      </c>
    </row>
    <row r="49" spans="1:13" s="135" customFormat="1" ht="12">
      <c r="A49" s="245" t="s">
        <v>107</v>
      </c>
      <c r="B49" s="217">
        <f aca="true" t="shared" si="12" ref="B49:M49">+B47+B48</f>
        <v>2038</v>
      </c>
      <c r="C49" s="217">
        <f>+C47+C48</f>
        <v>4829</v>
      </c>
      <c r="D49" s="217">
        <f t="shared" si="12"/>
        <v>2009</v>
      </c>
      <c r="E49" s="217">
        <f t="shared" si="12"/>
        <v>3037</v>
      </c>
      <c r="F49" s="217">
        <f t="shared" si="12"/>
        <v>9092</v>
      </c>
      <c r="G49" s="217">
        <f t="shared" si="12"/>
        <v>5688</v>
      </c>
      <c r="H49" s="217">
        <f t="shared" si="12"/>
        <v>742</v>
      </c>
      <c r="I49" s="217">
        <f t="shared" si="12"/>
        <v>2311</v>
      </c>
      <c r="J49" s="217">
        <f t="shared" si="12"/>
        <v>878</v>
      </c>
      <c r="K49" s="217">
        <f t="shared" si="12"/>
        <v>4252</v>
      </c>
      <c r="L49" s="217">
        <f t="shared" si="12"/>
        <v>2449</v>
      </c>
      <c r="M49" s="217">
        <f t="shared" si="12"/>
        <v>37325</v>
      </c>
    </row>
    <row r="50" spans="2:13" s="135" customFormat="1" ht="12">
      <c r="B50" s="218"/>
      <c r="C50" s="218"/>
      <c r="D50" s="196"/>
      <c r="E50" s="218"/>
      <c r="F50" s="218" t="s">
        <v>65</v>
      </c>
      <c r="G50" s="218"/>
      <c r="H50" s="218"/>
      <c r="I50" s="218"/>
      <c r="J50" s="218"/>
      <c r="K50" s="196"/>
      <c r="L50" s="218"/>
      <c r="M50" s="218"/>
    </row>
    <row r="51" spans="1:58" s="250" customFormat="1" ht="12">
      <c r="A51" s="244" t="s">
        <v>104</v>
      </c>
      <c r="B51" s="215"/>
      <c r="C51" s="215"/>
      <c r="D51" s="169"/>
      <c r="E51" s="169"/>
      <c r="F51" s="169"/>
      <c r="G51" s="169"/>
      <c r="H51" s="215"/>
      <c r="I51" s="169"/>
      <c r="J51" s="169"/>
      <c r="K51" s="215"/>
      <c r="L51" s="169"/>
      <c r="M51" s="172"/>
      <c r="N51" s="164"/>
      <c r="O51" s="150"/>
      <c r="P51" s="150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49"/>
      <c r="AU51" s="249"/>
      <c r="AV51" s="249"/>
      <c r="AW51" s="249"/>
      <c r="AX51" s="249"/>
      <c r="AY51" s="249"/>
      <c r="AZ51" s="249"/>
      <c r="BA51" s="249"/>
      <c r="BB51" s="249"/>
      <c r="BC51" s="249"/>
      <c r="BD51" s="249"/>
      <c r="BE51" s="249"/>
      <c r="BF51" s="249"/>
    </row>
    <row r="52" spans="1:58" ht="13.5" customHeight="1">
      <c r="A52" s="245" t="s">
        <v>105</v>
      </c>
      <c r="B52" s="37">
        <v>0</v>
      </c>
      <c r="C52" s="37">
        <v>0</v>
      </c>
      <c r="D52" s="37">
        <v>1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172">
        <f>SUM(B52:L52)</f>
        <v>1</v>
      </c>
      <c r="N52" s="167"/>
      <c r="O52" s="167"/>
      <c r="P52" s="167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246"/>
      <c r="BC52" s="246"/>
      <c r="BD52" s="246"/>
      <c r="BE52" s="246"/>
      <c r="BF52" s="246"/>
    </row>
    <row r="53" spans="1:30" ht="12">
      <c r="A53" s="245" t="s">
        <v>115</v>
      </c>
      <c r="B53" s="37">
        <v>14</v>
      </c>
      <c r="C53" s="37">
        <v>30</v>
      </c>
      <c r="D53" s="37">
        <v>33</v>
      </c>
      <c r="E53" s="37">
        <v>173</v>
      </c>
      <c r="F53" s="37">
        <v>28</v>
      </c>
      <c r="G53" s="37">
        <v>151</v>
      </c>
      <c r="H53" s="37">
        <v>50</v>
      </c>
      <c r="I53" s="37">
        <v>25</v>
      </c>
      <c r="J53" s="37">
        <v>56</v>
      </c>
      <c r="K53" s="37">
        <v>28</v>
      </c>
      <c r="L53" s="37">
        <v>66</v>
      </c>
      <c r="M53" s="172">
        <f>SUM(B53:L53)</f>
        <v>654</v>
      </c>
      <c r="N53" s="167"/>
      <c r="O53" s="167"/>
      <c r="P53" s="167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</row>
    <row r="54" spans="1:58" ht="12">
      <c r="A54" s="245" t="s">
        <v>107</v>
      </c>
      <c r="B54" s="217">
        <f aca="true" t="shared" si="13" ref="B54:M54">+B52+B53</f>
        <v>14</v>
      </c>
      <c r="C54" s="217">
        <f t="shared" si="13"/>
        <v>30</v>
      </c>
      <c r="D54" s="217">
        <f t="shared" si="13"/>
        <v>34</v>
      </c>
      <c r="E54" s="217">
        <f t="shared" si="13"/>
        <v>173</v>
      </c>
      <c r="F54" s="217">
        <f t="shared" si="13"/>
        <v>28</v>
      </c>
      <c r="G54" s="217">
        <f t="shared" si="13"/>
        <v>151</v>
      </c>
      <c r="H54" s="217">
        <f t="shared" si="13"/>
        <v>50</v>
      </c>
      <c r="I54" s="217">
        <f t="shared" si="13"/>
        <v>25</v>
      </c>
      <c r="J54" s="217">
        <f t="shared" si="13"/>
        <v>56</v>
      </c>
      <c r="K54" s="217">
        <f t="shared" si="13"/>
        <v>28</v>
      </c>
      <c r="L54" s="217">
        <f t="shared" si="13"/>
        <v>66</v>
      </c>
      <c r="M54" s="217">
        <f t="shared" si="13"/>
        <v>655</v>
      </c>
      <c r="N54" s="158"/>
      <c r="O54" s="150"/>
      <c r="P54" s="150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</row>
    <row r="55" spans="1:30" ht="12">
      <c r="A55" s="244" t="s">
        <v>109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72"/>
      <c r="N55" s="171"/>
      <c r="O55" s="171"/>
      <c r="P55" s="171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</row>
    <row r="56" spans="1:30" ht="12">
      <c r="A56" s="245" t="s">
        <v>105</v>
      </c>
      <c r="B56" s="37">
        <v>686</v>
      </c>
      <c r="C56" s="37">
        <v>2123</v>
      </c>
      <c r="D56" s="37">
        <v>582</v>
      </c>
      <c r="E56" s="37">
        <v>631</v>
      </c>
      <c r="F56" s="37">
        <v>1430</v>
      </c>
      <c r="G56" s="37">
        <v>5523</v>
      </c>
      <c r="H56" s="37">
        <v>1612</v>
      </c>
      <c r="I56" s="37">
        <v>1685</v>
      </c>
      <c r="J56" s="37">
        <v>2128</v>
      </c>
      <c r="K56" s="37">
        <v>1434</v>
      </c>
      <c r="L56" s="37">
        <v>2582</v>
      </c>
      <c r="M56" s="172">
        <f>SUM(B56:L56)</f>
        <v>20416</v>
      </c>
      <c r="N56" s="150"/>
      <c r="O56" s="150"/>
      <c r="P56" s="150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</row>
    <row r="57" spans="1:30" ht="12">
      <c r="A57" s="245" t="s">
        <v>115</v>
      </c>
      <c r="B57" s="37">
        <v>219</v>
      </c>
      <c r="C57" s="37">
        <v>425</v>
      </c>
      <c r="D57" s="37">
        <v>151</v>
      </c>
      <c r="E57" s="37">
        <v>233</v>
      </c>
      <c r="F57" s="37">
        <v>466</v>
      </c>
      <c r="G57" s="37">
        <v>1292</v>
      </c>
      <c r="H57" s="37">
        <v>360</v>
      </c>
      <c r="I57" s="37">
        <v>159</v>
      </c>
      <c r="J57" s="37">
        <v>538</v>
      </c>
      <c r="K57" s="37">
        <v>322</v>
      </c>
      <c r="L57" s="37">
        <v>389</v>
      </c>
      <c r="M57" s="172">
        <f>SUM(B57:L57)</f>
        <v>4554</v>
      </c>
      <c r="N57" s="164"/>
      <c r="O57" s="164"/>
      <c r="P57" s="164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</row>
    <row r="58" spans="1:58" ht="12">
      <c r="A58" s="245" t="s">
        <v>107</v>
      </c>
      <c r="B58" s="217">
        <f aca="true" t="shared" si="14" ref="B58:M58">+B56+B57</f>
        <v>905</v>
      </c>
      <c r="C58" s="217">
        <f t="shared" si="14"/>
        <v>2548</v>
      </c>
      <c r="D58" s="217">
        <f t="shared" si="14"/>
        <v>733</v>
      </c>
      <c r="E58" s="217">
        <f t="shared" si="14"/>
        <v>864</v>
      </c>
      <c r="F58" s="217">
        <f t="shared" si="14"/>
        <v>1896</v>
      </c>
      <c r="G58" s="217">
        <f t="shared" si="14"/>
        <v>6815</v>
      </c>
      <c r="H58" s="217">
        <f>+H56+H57</f>
        <v>1972</v>
      </c>
      <c r="I58" s="217">
        <f t="shared" si="14"/>
        <v>1844</v>
      </c>
      <c r="J58" s="217">
        <f t="shared" si="14"/>
        <v>2666</v>
      </c>
      <c r="K58" s="217">
        <f t="shared" si="14"/>
        <v>1756</v>
      </c>
      <c r="L58" s="217">
        <f t="shared" si="14"/>
        <v>2971</v>
      </c>
      <c r="M58" s="217">
        <f t="shared" si="14"/>
        <v>24970</v>
      </c>
      <c r="N58" s="158"/>
      <c r="O58" s="150"/>
      <c r="P58" s="150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6"/>
      <c r="BF58" s="246"/>
    </row>
    <row r="59" spans="1:30" ht="12">
      <c r="A59" s="244" t="s">
        <v>117</v>
      </c>
      <c r="B59" s="169"/>
      <c r="C59" s="215"/>
      <c r="D59" s="215"/>
      <c r="E59" s="215"/>
      <c r="F59" s="169"/>
      <c r="G59" s="169"/>
      <c r="H59" s="169"/>
      <c r="I59" s="169"/>
      <c r="J59" s="172"/>
      <c r="K59" s="215"/>
      <c r="L59" s="172"/>
      <c r="M59" s="172"/>
      <c r="N59" s="163"/>
      <c r="O59" s="163"/>
      <c r="P59" s="163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</row>
    <row r="60" spans="1:30" ht="12">
      <c r="A60" s="245" t="s">
        <v>105</v>
      </c>
      <c r="B60" s="37">
        <v>310</v>
      </c>
      <c r="C60" s="37">
        <v>1165</v>
      </c>
      <c r="D60" s="37">
        <v>350</v>
      </c>
      <c r="E60" s="37">
        <v>0</v>
      </c>
      <c r="F60" s="37">
        <v>773</v>
      </c>
      <c r="G60" s="37">
        <v>2204</v>
      </c>
      <c r="H60" s="37">
        <v>937</v>
      </c>
      <c r="I60" s="37">
        <v>112</v>
      </c>
      <c r="J60" s="37">
        <v>955</v>
      </c>
      <c r="K60" s="37">
        <v>586</v>
      </c>
      <c r="L60" s="37">
        <v>1167</v>
      </c>
      <c r="M60" s="172">
        <f>SUM(B60:L60)</f>
        <v>8559</v>
      </c>
      <c r="N60" s="177"/>
      <c r="O60" s="177"/>
      <c r="P60" s="177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</row>
    <row r="61" spans="1:30" ht="12">
      <c r="A61" s="245" t="s">
        <v>115</v>
      </c>
      <c r="B61" s="37">
        <v>39</v>
      </c>
      <c r="C61" s="37">
        <v>176</v>
      </c>
      <c r="D61" s="37">
        <v>47</v>
      </c>
      <c r="E61" s="37">
        <v>3</v>
      </c>
      <c r="F61" s="37">
        <v>206</v>
      </c>
      <c r="G61" s="37">
        <v>615</v>
      </c>
      <c r="H61" s="37">
        <v>145</v>
      </c>
      <c r="I61" s="37">
        <v>8</v>
      </c>
      <c r="J61" s="37">
        <v>306</v>
      </c>
      <c r="K61" s="37">
        <v>78</v>
      </c>
      <c r="L61" s="37">
        <v>239</v>
      </c>
      <c r="M61" s="172">
        <f>SUM(B61:L61)</f>
        <v>1862</v>
      </c>
      <c r="N61" s="150"/>
      <c r="O61" s="150"/>
      <c r="P61" s="150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</row>
    <row r="62" spans="1:58" ht="12">
      <c r="A62" s="245" t="s">
        <v>107</v>
      </c>
      <c r="B62" s="217">
        <f aca="true" t="shared" si="15" ref="B62:H62">+B60+B61</f>
        <v>349</v>
      </c>
      <c r="C62" s="217">
        <f t="shared" si="15"/>
        <v>1341</v>
      </c>
      <c r="D62" s="217">
        <f t="shared" si="15"/>
        <v>397</v>
      </c>
      <c r="E62" s="217">
        <f t="shared" si="15"/>
        <v>3</v>
      </c>
      <c r="F62" s="217">
        <f t="shared" si="15"/>
        <v>979</v>
      </c>
      <c r="G62" s="217">
        <f t="shared" si="15"/>
        <v>2819</v>
      </c>
      <c r="H62" s="217">
        <f t="shared" si="15"/>
        <v>1082</v>
      </c>
      <c r="I62" s="217">
        <f>+I60+I61</f>
        <v>120</v>
      </c>
      <c r="J62" s="217">
        <f>+J60+J61</f>
        <v>1261</v>
      </c>
      <c r="K62" s="217">
        <f>+K60+K61</f>
        <v>664</v>
      </c>
      <c r="L62" s="217">
        <f>+L60+L61</f>
        <v>1406</v>
      </c>
      <c r="M62" s="217">
        <f>+M60+M61</f>
        <v>10421</v>
      </c>
      <c r="N62" s="158"/>
      <c r="O62" s="150"/>
      <c r="P62" s="150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  <c r="AM62" s="246"/>
      <c r="AN62" s="246"/>
      <c r="AO62" s="246"/>
      <c r="AP62" s="246"/>
      <c r="AQ62" s="246"/>
      <c r="AR62" s="246"/>
      <c r="AS62" s="246"/>
      <c r="AT62" s="246"/>
      <c r="AU62" s="246"/>
      <c r="AV62" s="246"/>
      <c r="AW62" s="246"/>
      <c r="AX62" s="246"/>
      <c r="AY62" s="246"/>
      <c r="AZ62" s="246"/>
      <c r="BA62" s="246"/>
      <c r="BB62" s="246"/>
      <c r="BC62" s="246"/>
      <c r="BD62" s="246"/>
      <c r="BE62" s="246"/>
      <c r="BF62" s="246"/>
    </row>
    <row r="63" spans="1:30" ht="12">
      <c r="A63" s="244" t="s">
        <v>111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72"/>
      <c r="N63" s="150"/>
      <c r="O63" s="150"/>
      <c r="P63" s="150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</row>
    <row r="64" spans="1:16" ht="12">
      <c r="A64" s="245" t="s">
        <v>105</v>
      </c>
      <c r="B64" s="37">
        <v>292</v>
      </c>
      <c r="C64" s="37">
        <v>0</v>
      </c>
      <c r="D64" s="37">
        <v>1157</v>
      </c>
      <c r="E64" s="37">
        <v>3309</v>
      </c>
      <c r="F64" s="37">
        <v>497</v>
      </c>
      <c r="G64" s="37">
        <v>40</v>
      </c>
      <c r="H64" s="37">
        <v>0</v>
      </c>
      <c r="I64" s="37">
        <v>1482</v>
      </c>
      <c r="J64" s="37">
        <v>1206</v>
      </c>
      <c r="K64" s="37">
        <v>0</v>
      </c>
      <c r="L64" s="37">
        <v>0</v>
      </c>
      <c r="M64" s="172">
        <f>SUM(B64:L64)</f>
        <v>7983</v>
      </c>
      <c r="N64" s="181"/>
      <c r="O64" s="181"/>
      <c r="P64" s="181"/>
    </row>
    <row r="65" spans="1:16" ht="12">
      <c r="A65" s="245" t="s">
        <v>115</v>
      </c>
      <c r="B65" s="37">
        <v>158</v>
      </c>
      <c r="C65" s="37">
        <v>0</v>
      </c>
      <c r="D65" s="37">
        <v>326</v>
      </c>
      <c r="E65" s="37">
        <v>1025</v>
      </c>
      <c r="F65" s="37">
        <v>181</v>
      </c>
      <c r="G65" s="37">
        <v>0</v>
      </c>
      <c r="H65" s="37">
        <v>0</v>
      </c>
      <c r="I65" s="37">
        <v>324</v>
      </c>
      <c r="J65" s="37">
        <v>311</v>
      </c>
      <c r="K65" s="37">
        <v>0</v>
      </c>
      <c r="L65" s="37">
        <v>0</v>
      </c>
      <c r="M65" s="172">
        <f>SUM(B65:L65)</f>
        <v>2325</v>
      </c>
      <c r="N65" s="181"/>
      <c r="O65" s="181"/>
      <c r="P65" s="181"/>
    </row>
    <row r="66" spans="1:58" ht="12">
      <c r="A66" s="245" t="s">
        <v>107</v>
      </c>
      <c r="B66" s="217">
        <f aca="true" t="shared" si="16" ref="B66:M66">+B64+B65</f>
        <v>450</v>
      </c>
      <c r="C66" s="217">
        <f t="shared" si="16"/>
        <v>0</v>
      </c>
      <c r="D66" s="217">
        <f t="shared" si="16"/>
        <v>1483</v>
      </c>
      <c r="E66" s="217">
        <f t="shared" si="16"/>
        <v>4334</v>
      </c>
      <c r="F66" s="217">
        <f t="shared" si="16"/>
        <v>678</v>
      </c>
      <c r="G66" s="217">
        <f t="shared" si="16"/>
        <v>40</v>
      </c>
      <c r="H66" s="217">
        <f t="shared" si="16"/>
        <v>0</v>
      </c>
      <c r="I66" s="217">
        <f t="shared" si="16"/>
        <v>1806</v>
      </c>
      <c r="J66" s="217">
        <f t="shared" si="16"/>
        <v>1517</v>
      </c>
      <c r="K66" s="217">
        <f t="shared" si="16"/>
        <v>0</v>
      </c>
      <c r="L66" s="217">
        <f t="shared" si="16"/>
        <v>0</v>
      </c>
      <c r="M66" s="217">
        <f t="shared" si="16"/>
        <v>10308</v>
      </c>
      <c r="N66" s="158"/>
      <c r="O66" s="150"/>
      <c r="P66" s="150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  <c r="AM66" s="246"/>
      <c r="AN66" s="246"/>
      <c r="AO66" s="246"/>
      <c r="AP66" s="246"/>
      <c r="AQ66" s="246"/>
      <c r="AR66" s="246"/>
      <c r="AS66" s="246"/>
      <c r="AT66" s="246"/>
      <c r="AU66" s="246"/>
      <c r="AV66" s="246"/>
      <c r="AW66" s="246"/>
      <c r="AX66" s="246"/>
      <c r="AY66" s="246"/>
      <c r="AZ66" s="246"/>
      <c r="BA66" s="246"/>
      <c r="BB66" s="246"/>
      <c r="BC66" s="246"/>
      <c r="BD66" s="246"/>
      <c r="BE66" s="246"/>
      <c r="BF66" s="246"/>
    </row>
    <row r="67" spans="1:58" ht="12">
      <c r="A67" s="244" t="s">
        <v>112</v>
      </c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51"/>
      <c r="N67" s="158"/>
      <c r="O67" s="150"/>
      <c r="P67" s="150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  <c r="AM67" s="246"/>
      <c r="AN67" s="246"/>
      <c r="AO67" s="246"/>
      <c r="AP67" s="246"/>
      <c r="AQ67" s="246"/>
      <c r="AR67" s="246"/>
      <c r="AS67" s="246"/>
      <c r="AT67" s="246"/>
      <c r="AU67" s="246"/>
      <c r="AV67" s="246"/>
      <c r="AW67" s="246"/>
      <c r="AX67" s="246"/>
      <c r="AY67" s="246"/>
      <c r="AZ67" s="246"/>
      <c r="BA67" s="246"/>
      <c r="BB67" s="246"/>
      <c r="BC67" s="246"/>
      <c r="BD67" s="246"/>
      <c r="BE67" s="246"/>
      <c r="BF67" s="246"/>
    </row>
    <row r="68" spans="1:16" ht="12">
      <c r="A68" s="245" t="s">
        <v>105</v>
      </c>
      <c r="B68" s="223">
        <f>+B64+B60+B56+B52</f>
        <v>1288</v>
      </c>
      <c r="C68" s="223">
        <f aca="true" t="shared" si="17" ref="C68:L68">+C64+C60+C56+C52</f>
        <v>3288</v>
      </c>
      <c r="D68" s="223">
        <f t="shared" si="17"/>
        <v>2090</v>
      </c>
      <c r="E68" s="223">
        <f t="shared" si="17"/>
        <v>3940</v>
      </c>
      <c r="F68" s="223">
        <f t="shared" si="17"/>
        <v>2700</v>
      </c>
      <c r="G68" s="223">
        <f t="shared" si="17"/>
        <v>7767</v>
      </c>
      <c r="H68" s="223">
        <f t="shared" si="17"/>
        <v>2549</v>
      </c>
      <c r="I68" s="223">
        <f t="shared" si="17"/>
        <v>3279</v>
      </c>
      <c r="J68" s="223">
        <f t="shared" si="17"/>
        <v>4289</v>
      </c>
      <c r="K68" s="223">
        <f t="shared" si="17"/>
        <v>2020</v>
      </c>
      <c r="L68" s="223">
        <f t="shared" si="17"/>
        <v>3749</v>
      </c>
      <c r="M68" s="223">
        <f>+M64+M60+M56+M52</f>
        <v>36959</v>
      </c>
      <c r="N68" s="187"/>
      <c r="O68" s="187"/>
      <c r="P68" s="187"/>
    </row>
    <row r="69" spans="1:16" ht="12">
      <c r="A69" s="245" t="s">
        <v>115</v>
      </c>
      <c r="B69" s="223">
        <v>116</v>
      </c>
      <c r="C69" s="223"/>
      <c r="D69" s="223">
        <v>332</v>
      </c>
      <c r="E69" s="223"/>
      <c r="F69" s="223">
        <v>96</v>
      </c>
      <c r="G69" s="223"/>
      <c r="H69" s="223"/>
      <c r="I69" s="223">
        <v>311</v>
      </c>
      <c r="J69" s="223"/>
      <c r="K69" s="223"/>
      <c r="L69" s="223"/>
      <c r="M69" s="223">
        <f>+M65+M61+M57+M53</f>
        <v>9395</v>
      </c>
      <c r="N69" s="190"/>
      <c r="O69" s="190"/>
      <c r="P69" s="190"/>
    </row>
    <row r="70" spans="1:16" ht="12">
      <c r="A70" s="255" t="s">
        <v>107</v>
      </c>
      <c r="B70" s="221">
        <f aca="true" t="shared" si="18" ref="B70:L70">+B68+B69</f>
        <v>1404</v>
      </c>
      <c r="C70" s="221">
        <f>+C68+C69</f>
        <v>3288</v>
      </c>
      <c r="D70" s="221">
        <f t="shared" si="18"/>
        <v>2422</v>
      </c>
      <c r="E70" s="221">
        <f t="shared" si="18"/>
        <v>3940</v>
      </c>
      <c r="F70" s="221">
        <f t="shared" si="18"/>
        <v>2796</v>
      </c>
      <c r="G70" s="221">
        <f t="shared" si="18"/>
        <v>7767</v>
      </c>
      <c r="H70" s="221">
        <f t="shared" si="18"/>
        <v>2549</v>
      </c>
      <c r="I70" s="221">
        <f t="shared" si="18"/>
        <v>3590</v>
      </c>
      <c r="J70" s="221">
        <f t="shared" si="18"/>
        <v>4289</v>
      </c>
      <c r="K70" s="221">
        <f t="shared" si="18"/>
        <v>2020</v>
      </c>
      <c r="L70" s="221">
        <f t="shared" si="18"/>
        <v>3749</v>
      </c>
      <c r="M70" s="221">
        <f>+M68+M69</f>
        <v>46354</v>
      </c>
      <c r="N70" s="192"/>
      <c r="O70" s="192"/>
      <c r="P70" s="192"/>
    </row>
    <row r="71" spans="1:16" ht="12">
      <c r="A71" s="73" t="s">
        <v>147</v>
      </c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00"/>
      <c r="O71" s="200"/>
      <c r="P71" s="200"/>
    </row>
    <row r="72" spans="1:16" ht="12">
      <c r="A72" s="256" t="s">
        <v>133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4"/>
      <c r="N72" s="200"/>
      <c r="O72" s="200"/>
      <c r="P72" s="200"/>
    </row>
    <row r="73" spans="1:16" ht="12">
      <c r="A73" s="257" t="s">
        <v>66</v>
      </c>
      <c r="B73" s="258"/>
      <c r="C73" s="223"/>
      <c r="D73" s="258"/>
      <c r="E73" s="223"/>
      <c r="F73" s="258"/>
      <c r="G73" s="258"/>
      <c r="H73" s="258"/>
      <c r="I73" s="258"/>
      <c r="J73" s="258"/>
      <c r="K73" s="223"/>
      <c r="L73" s="258"/>
      <c r="M73" s="224"/>
      <c r="N73" s="200"/>
      <c r="O73" s="200"/>
      <c r="P73" s="200"/>
    </row>
    <row r="74" spans="1:16" ht="12">
      <c r="A74" s="259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00"/>
      <c r="O74" s="200"/>
      <c r="P74" s="200"/>
    </row>
    <row r="75" spans="1:16" ht="12">
      <c r="A75" s="260"/>
      <c r="B75" s="200"/>
      <c r="C75" s="225"/>
      <c r="D75" s="225"/>
      <c r="E75" s="225"/>
      <c r="F75" s="200"/>
      <c r="G75" s="200"/>
      <c r="H75" s="200"/>
      <c r="I75" s="200"/>
      <c r="J75" s="200"/>
      <c r="K75" s="225"/>
      <c r="L75" s="200"/>
      <c r="M75" s="224"/>
      <c r="N75" s="200"/>
      <c r="O75" s="200"/>
      <c r="P75" s="200"/>
    </row>
    <row r="76" spans="1:16" ht="12">
      <c r="A76" s="260"/>
      <c r="B76" s="200"/>
      <c r="C76" s="225"/>
      <c r="D76" s="225"/>
      <c r="E76" s="225"/>
      <c r="F76" s="200"/>
      <c r="G76" s="200"/>
      <c r="H76" s="200"/>
      <c r="I76" s="200"/>
      <c r="J76" s="200"/>
      <c r="K76" s="225"/>
      <c r="L76" s="200"/>
      <c r="M76" s="224"/>
      <c r="N76" s="200"/>
      <c r="O76" s="200"/>
      <c r="P76" s="200"/>
    </row>
    <row r="77" spans="1:16" ht="12">
      <c r="A77" s="260"/>
      <c r="B77" s="200"/>
      <c r="C77" s="225"/>
      <c r="D77" s="225"/>
      <c r="E77" s="225"/>
      <c r="F77" s="200"/>
      <c r="G77" s="200"/>
      <c r="H77" s="200"/>
      <c r="I77" s="200"/>
      <c r="J77" s="200"/>
      <c r="K77" s="225"/>
      <c r="L77" s="200"/>
      <c r="M77" s="224"/>
      <c r="N77" s="203"/>
      <c r="O77" s="203"/>
      <c r="P77" s="203"/>
    </row>
    <row r="78" spans="1:16" ht="12">
      <c r="A78" s="260"/>
      <c r="B78" s="200"/>
      <c r="C78" s="225"/>
      <c r="D78" s="225"/>
      <c r="E78" s="225"/>
      <c r="F78" s="200"/>
      <c r="G78" s="200"/>
      <c r="H78" s="200"/>
      <c r="I78" s="200"/>
      <c r="J78" s="200"/>
      <c r="K78" s="225"/>
      <c r="L78" s="200"/>
      <c r="M78" s="224"/>
      <c r="N78" s="200"/>
      <c r="O78" s="200"/>
      <c r="P78" s="200"/>
    </row>
    <row r="79" spans="1:16" ht="12">
      <c r="A79" s="260"/>
      <c r="B79" s="200"/>
      <c r="C79" s="225"/>
      <c r="D79" s="225"/>
      <c r="E79" s="225"/>
      <c r="F79" s="200"/>
      <c r="G79" s="200"/>
      <c r="H79" s="200"/>
      <c r="I79" s="200"/>
      <c r="J79" s="225"/>
      <c r="K79" s="225"/>
      <c r="L79" s="200"/>
      <c r="M79" s="224"/>
      <c r="N79" s="164"/>
      <c r="O79" s="164"/>
      <c r="P79" s="164"/>
    </row>
    <row r="80" spans="1:16" ht="12">
      <c r="A80" s="260"/>
      <c r="B80" s="200"/>
      <c r="C80" s="225"/>
      <c r="D80" s="200"/>
      <c r="E80" s="225"/>
      <c r="F80" s="200"/>
      <c r="G80" s="200"/>
      <c r="H80" s="200"/>
      <c r="I80" s="200"/>
      <c r="J80" s="200"/>
      <c r="K80" s="225"/>
      <c r="L80" s="200"/>
      <c r="M80" s="224"/>
      <c r="N80" s="203"/>
      <c r="O80" s="203"/>
      <c r="P80" s="203"/>
    </row>
    <row r="81" spans="1:13" ht="12">
      <c r="A81" s="264"/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24"/>
    </row>
    <row r="82" spans="1:13" ht="12">
      <c r="A82" s="264"/>
      <c r="B82" s="264"/>
      <c r="C82" s="264"/>
      <c r="D82" s="264"/>
      <c r="E82" s="264"/>
      <c r="F82" s="264"/>
      <c r="G82" s="264"/>
      <c r="H82" s="264"/>
      <c r="I82" s="264"/>
      <c r="J82" s="264"/>
      <c r="K82" s="264"/>
      <c r="L82" s="264"/>
      <c r="M82" s="224"/>
    </row>
    <row r="83" spans="1:13" ht="12">
      <c r="A83" s="164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</row>
    <row r="84" spans="1:13" ht="12">
      <c r="A84" s="262"/>
      <c r="B84" s="226"/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63"/>
    </row>
  </sheetData>
  <sheetProtection/>
  <mergeCells count="1">
    <mergeCell ref="B3:L3"/>
  </mergeCells>
  <printOptions/>
  <pageMargins left="0.5511811023622047" right="0.2362204724409449" top="0.5511811023622047" bottom="0.1968503937007874" header="0.5118110236220472" footer="0.2362204724409449"/>
  <pageSetup fitToHeight="1" fitToWidth="1" orientation="portrait" paperSize="9" scale="68" r:id="rId1"/>
  <headerFooter alignWithMargins="0">
    <oddHeader>&amp;R&amp;F</oddHeader>
    <oddFooter>&amp;LComune di Bologna - Dipartimento Programmazione - Settore Statistica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84"/>
  <sheetViews>
    <sheetView showZeros="0" zoomScale="85" zoomScaleNormal="85" zoomScalePageLayoutView="0" workbookViewId="0" topLeftCell="A1">
      <pane ySplit="7" topLeftCell="A8" activePane="bottomLeft" state="frozen"/>
      <selection pane="topLeft" activeCell="A1" sqref="A1:IV16384"/>
      <selection pane="bottomLeft" activeCell="A1" sqref="A1"/>
    </sheetView>
  </sheetViews>
  <sheetFormatPr defaultColWidth="10.875" defaultRowHeight="12"/>
  <cols>
    <col min="1" max="1" width="56.625" style="138" customWidth="1"/>
    <col min="2" max="3" width="11.25390625" style="138" customWidth="1"/>
    <col min="4" max="4" width="12.00390625" style="138" customWidth="1"/>
    <col min="5" max="5" width="13.00390625" style="138" customWidth="1"/>
    <col min="6" max="7" width="11.25390625" style="138" customWidth="1"/>
    <col min="8" max="8" width="12.875" style="138" customWidth="1"/>
    <col min="9" max="12" width="11.25390625" style="138" customWidth="1"/>
    <col min="13" max="13" width="8.00390625" style="138" customWidth="1"/>
    <col min="14" max="15" width="9.875" style="138" customWidth="1"/>
    <col min="16" max="16384" width="10.875" style="138" customWidth="1"/>
  </cols>
  <sheetData>
    <row r="1" spans="1:13" s="120" customFormat="1" ht="15" customHeight="1">
      <c r="A1" s="227" t="s">
        <v>134</v>
      </c>
      <c r="B1" s="209"/>
      <c r="C1" s="209"/>
      <c r="D1" s="209"/>
      <c r="E1" s="209"/>
      <c r="F1" s="209"/>
      <c r="G1" s="209"/>
      <c r="H1" s="227"/>
      <c r="I1" s="209"/>
      <c r="J1" s="209"/>
      <c r="K1" s="209"/>
      <c r="L1" s="209"/>
      <c r="M1" s="228"/>
    </row>
    <row r="2" spans="1:13" s="131" customFormat="1" ht="15">
      <c r="A2" s="229" t="s">
        <v>149</v>
      </c>
      <c r="B2" s="211"/>
      <c r="C2" s="211"/>
      <c r="D2" s="230"/>
      <c r="E2" s="211"/>
      <c r="F2" s="231"/>
      <c r="G2" s="230"/>
      <c r="H2" s="232"/>
      <c r="I2" s="211"/>
      <c r="J2" s="233"/>
      <c r="K2" s="234" t="s">
        <v>132</v>
      </c>
      <c r="L2" s="211"/>
      <c r="M2" s="236"/>
    </row>
    <row r="3" spans="1:13" s="135" customFormat="1" ht="12">
      <c r="A3" s="237"/>
      <c r="B3" s="268" t="s">
        <v>136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38" t="s">
        <v>103</v>
      </c>
    </row>
    <row r="4" spans="1:12" ht="48">
      <c r="A4" s="237"/>
      <c r="B4" s="265" t="s">
        <v>137</v>
      </c>
      <c r="C4" s="265" t="s">
        <v>138</v>
      </c>
      <c r="D4" s="265" t="s">
        <v>139</v>
      </c>
      <c r="E4" s="265" t="s">
        <v>140</v>
      </c>
      <c r="F4" s="265" t="s">
        <v>141</v>
      </c>
      <c r="G4" s="265" t="s">
        <v>142</v>
      </c>
      <c r="H4" s="265" t="s">
        <v>143</v>
      </c>
      <c r="I4" s="265" t="s">
        <v>144</v>
      </c>
      <c r="J4" s="265" t="s">
        <v>145</v>
      </c>
      <c r="K4" s="265" t="s">
        <v>6</v>
      </c>
      <c r="L4" s="265" t="s">
        <v>146</v>
      </c>
    </row>
    <row r="5" spans="1:13" ht="12">
      <c r="A5" s="237"/>
      <c r="B5" s="239"/>
      <c r="C5" s="212"/>
      <c r="D5" s="212"/>
      <c r="E5" s="212"/>
      <c r="F5" s="212"/>
      <c r="G5" s="212"/>
      <c r="H5" s="212"/>
      <c r="I5" s="239"/>
      <c r="J5" s="212"/>
      <c r="K5" s="212"/>
      <c r="L5" s="212"/>
      <c r="M5" s="239"/>
    </row>
    <row r="6" spans="1:13" ht="12">
      <c r="A6" s="225"/>
      <c r="B6" s="225"/>
      <c r="C6" s="212"/>
      <c r="D6" s="212"/>
      <c r="E6" s="212"/>
      <c r="F6" s="239"/>
      <c r="G6" s="225"/>
      <c r="H6" s="212"/>
      <c r="I6" s="225"/>
      <c r="J6" s="212"/>
      <c r="K6" s="212"/>
      <c r="L6" s="212"/>
      <c r="M6" s="239"/>
    </row>
    <row r="7" spans="1:13" s="131" customFormat="1" ht="12">
      <c r="A7" s="241"/>
      <c r="B7" s="242"/>
      <c r="C7" s="213"/>
      <c r="D7" s="242"/>
      <c r="E7" s="213"/>
      <c r="F7" s="242"/>
      <c r="G7" s="242"/>
      <c r="H7" s="241"/>
      <c r="I7" s="242"/>
      <c r="J7" s="213"/>
      <c r="K7" s="213"/>
      <c r="L7" s="213"/>
      <c r="M7" s="242"/>
    </row>
    <row r="8" spans="2:15" s="135" customFormat="1" ht="12">
      <c r="B8" s="214"/>
      <c r="C8" s="214"/>
      <c r="E8" s="214"/>
      <c r="F8" s="214" t="s">
        <v>54</v>
      </c>
      <c r="G8" s="214"/>
      <c r="H8" s="214"/>
      <c r="I8" s="214"/>
      <c r="J8" s="218"/>
      <c r="L8" s="214"/>
      <c r="M8" s="214"/>
      <c r="O8" s="139"/>
    </row>
    <row r="9" spans="1:58" s="250" customFormat="1" ht="12">
      <c r="A9" s="244" t="s">
        <v>104</v>
      </c>
      <c r="B9" s="215"/>
      <c r="C9" s="215"/>
      <c r="D9" s="169"/>
      <c r="E9" s="169"/>
      <c r="F9" s="169"/>
      <c r="G9" s="169"/>
      <c r="H9" s="215"/>
      <c r="I9" s="169"/>
      <c r="J9" s="169"/>
      <c r="K9" s="215"/>
      <c r="L9" s="169"/>
      <c r="M9" s="172"/>
      <c r="N9" s="164"/>
      <c r="O9" s="139"/>
      <c r="P9" s="150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</row>
    <row r="10" spans="1:58" ht="13.5" customHeight="1">
      <c r="A10" s="245" t="s">
        <v>105</v>
      </c>
      <c r="B10" s="215">
        <f aca="true" t="shared" si="0" ref="B10:L12">+B31+B52</f>
        <v>0</v>
      </c>
      <c r="C10" s="215">
        <f t="shared" si="0"/>
        <v>0</v>
      </c>
      <c r="D10" s="215">
        <f t="shared" si="0"/>
        <v>3</v>
      </c>
      <c r="E10" s="215">
        <f t="shared" si="0"/>
        <v>0</v>
      </c>
      <c r="F10" s="215">
        <f t="shared" si="0"/>
        <v>0</v>
      </c>
      <c r="G10" s="215">
        <f t="shared" si="0"/>
        <v>0</v>
      </c>
      <c r="H10" s="215">
        <f t="shared" si="0"/>
        <v>0</v>
      </c>
      <c r="I10" s="215">
        <f t="shared" si="0"/>
        <v>0</v>
      </c>
      <c r="J10" s="215">
        <f t="shared" si="0"/>
        <v>1</v>
      </c>
      <c r="K10" s="215">
        <f t="shared" si="0"/>
        <v>0</v>
      </c>
      <c r="L10" s="215">
        <f t="shared" si="0"/>
        <v>0</v>
      </c>
      <c r="M10" s="172">
        <f>SUM(B10:L10)</f>
        <v>4</v>
      </c>
      <c r="N10" s="167"/>
      <c r="O10" s="139"/>
      <c r="P10" s="167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</row>
    <row r="11" spans="1:30" ht="12">
      <c r="A11" s="245" t="s">
        <v>115</v>
      </c>
      <c r="B11" s="215">
        <f t="shared" si="0"/>
        <v>37</v>
      </c>
      <c r="C11" s="215">
        <f t="shared" si="0"/>
        <v>76</v>
      </c>
      <c r="D11" s="215">
        <f t="shared" si="0"/>
        <v>47</v>
      </c>
      <c r="E11" s="215">
        <f t="shared" si="0"/>
        <v>295</v>
      </c>
      <c r="F11" s="215">
        <f t="shared" si="0"/>
        <v>174</v>
      </c>
      <c r="G11" s="215">
        <f t="shared" si="0"/>
        <v>271</v>
      </c>
      <c r="H11" s="215">
        <f t="shared" si="0"/>
        <v>56</v>
      </c>
      <c r="I11" s="215">
        <f t="shared" si="0"/>
        <v>70</v>
      </c>
      <c r="J11" s="215">
        <f t="shared" si="0"/>
        <v>266</v>
      </c>
      <c r="K11" s="215">
        <f t="shared" si="0"/>
        <v>58</v>
      </c>
      <c r="L11" s="215">
        <f t="shared" si="0"/>
        <v>113</v>
      </c>
      <c r="M11" s="172">
        <f>SUM(B11:L11)</f>
        <v>1463</v>
      </c>
      <c r="N11" s="167"/>
      <c r="O11" s="139"/>
      <c r="P11" s="167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</row>
    <row r="12" spans="1:58" ht="12">
      <c r="A12" s="245" t="s">
        <v>107</v>
      </c>
      <c r="B12" s="215">
        <f t="shared" si="0"/>
        <v>37</v>
      </c>
      <c r="C12" s="215">
        <f t="shared" si="0"/>
        <v>76</v>
      </c>
      <c r="D12" s="215">
        <f t="shared" si="0"/>
        <v>50</v>
      </c>
      <c r="E12" s="215">
        <f t="shared" si="0"/>
        <v>295</v>
      </c>
      <c r="F12" s="215">
        <f t="shared" si="0"/>
        <v>174</v>
      </c>
      <c r="G12" s="215">
        <f t="shared" si="0"/>
        <v>271</v>
      </c>
      <c r="H12" s="215">
        <f t="shared" si="0"/>
        <v>56</v>
      </c>
      <c r="I12" s="215">
        <f t="shared" si="0"/>
        <v>70</v>
      </c>
      <c r="J12" s="215">
        <f t="shared" si="0"/>
        <v>267</v>
      </c>
      <c r="K12" s="215">
        <f t="shared" si="0"/>
        <v>58</v>
      </c>
      <c r="L12" s="215">
        <f t="shared" si="0"/>
        <v>113</v>
      </c>
      <c r="M12" s="217">
        <f>+M10+M11</f>
        <v>1467</v>
      </c>
      <c r="N12" s="158"/>
      <c r="O12" s="139"/>
      <c r="P12" s="150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</row>
    <row r="13" spans="1:30" ht="12">
      <c r="A13" s="244" t="s">
        <v>109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72"/>
      <c r="N13" s="171"/>
      <c r="O13" s="139"/>
      <c r="P13" s="171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</row>
    <row r="14" spans="1:30" ht="12">
      <c r="A14" s="245" t="s">
        <v>105</v>
      </c>
      <c r="B14" s="215">
        <f aca="true" t="shared" si="1" ref="B14:L16">+B35+B56</f>
        <v>1788</v>
      </c>
      <c r="C14" s="215">
        <f t="shared" si="1"/>
        <v>4539</v>
      </c>
      <c r="D14" s="215">
        <f t="shared" si="1"/>
        <v>1461</v>
      </c>
      <c r="E14" s="215">
        <f t="shared" si="1"/>
        <v>860</v>
      </c>
      <c r="F14" s="215">
        <f t="shared" si="1"/>
        <v>5302</v>
      </c>
      <c r="G14" s="215">
        <f t="shared" si="1"/>
        <v>8404</v>
      </c>
      <c r="H14" s="215">
        <f t="shared" si="1"/>
        <v>2035</v>
      </c>
      <c r="I14" s="215">
        <f t="shared" si="1"/>
        <v>2379</v>
      </c>
      <c r="J14" s="215">
        <f t="shared" si="1"/>
        <v>2457</v>
      </c>
      <c r="K14" s="215">
        <f t="shared" si="1"/>
        <v>3907</v>
      </c>
      <c r="L14" s="215">
        <f t="shared" si="1"/>
        <v>4072</v>
      </c>
      <c r="M14" s="172">
        <f>SUM(B14:L14)</f>
        <v>37204</v>
      </c>
      <c r="N14" s="150"/>
      <c r="O14" s="139"/>
      <c r="P14" s="150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</row>
    <row r="15" spans="1:30" ht="12">
      <c r="A15" s="245" t="s">
        <v>115</v>
      </c>
      <c r="B15" s="215">
        <f t="shared" si="1"/>
        <v>569</v>
      </c>
      <c r="C15" s="215">
        <f t="shared" si="1"/>
        <v>1057</v>
      </c>
      <c r="D15" s="215">
        <f t="shared" si="1"/>
        <v>340</v>
      </c>
      <c r="E15" s="215">
        <f t="shared" si="1"/>
        <v>376</v>
      </c>
      <c r="F15" s="215">
        <f t="shared" si="1"/>
        <v>1989</v>
      </c>
      <c r="G15" s="215">
        <f t="shared" si="1"/>
        <v>2051</v>
      </c>
      <c r="H15" s="215">
        <f t="shared" si="1"/>
        <v>494</v>
      </c>
      <c r="I15" s="215">
        <f t="shared" si="1"/>
        <v>306</v>
      </c>
      <c r="J15" s="215">
        <f t="shared" si="1"/>
        <v>734</v>
      </c>
      <c r="K15" s="215">
        <f t="shared" si="1"/>
        <v>1027</v>
      </c>
      <c r="L15" s="215">
        <f t="shared" si="1"/>
        <v>622</v>
      </c>
      <c r="M15" s="172">
        <f>SUM(B15:L15)</f>
        <v>9565</v>
      </c>
      <c r="N15" s="164"/>
      <c r="O15" s="161"/>
      <c r="P15" s="164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</row>
    <row r="16" spans="1:58" ht="12">
      <c r="A16" s="245" t="s">
        <v>107</v>
      </c>
      <c r="B16" s="215">
        <f t="shared" si="1"/>
        <v>2357</v>
      </c>
      <c r="C16" s="215">
        <f t="shared" si="1"/>
        <v>5596</v>
      </c>
      <c r="D16" s="215">
        <f t="shared" si="1"/>
        <v>1801</v>
      </c>
      <c r="E16" s="215">
        <f t="shared" si="1"/>
        <v>1236</v>
      </c>
      <c r="F16" s="215">
        <f t="shared" si="1"/>
        <v>7291</v>
      </c>
      <c r="G16" s="215">
        <f t="shared" si="1"/>
        <v>10455</v>
      </c>
      <c r="H16" s="215">
        <f t="shared" si="1"/>
        <v>2529</v>
      </c>
      <c r="I16" s="215">
        <f t="shared" si="1"/>
        <v>2685</v>
      </c>
      <c r="J16" s="215">
        <f t="shared" si="1"/>
        <v>3191</v>
      </c>
      <c r="K16" s="215">
        <f t="shared" si="1"/>
        <v>4934</v>
      </c>
      <c r="L16" s="215">
        <f t="shared" si="1"/>
        <v>4694</v>
      </c>
      <c r="M16" s="217">
        <f>+M14+M15</f>
        <v>46769</v>
      </c>
      <c r="N16" s="158"/>
      <c r="O16" s="150"/>
      <c r="P16" s="150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</row>
    <row r="17" spans="1:30" ht="12">
      <c r="A17" s="244" t="s">
        <v>117</v>
      </c>
      <c r="B17" s="169"/>
      <c r="C17" s="215"/>
      <c r="D17" s="215"/>
      <c r="E17" s="215"/>
      <c r="F17" s="169"/>
      <c r="G17" s="169"/>
      <c r="H17" s="169"/>
      <c r="I17" s="169"/>
      <c r="J17" s="172"/>
      <c r="K17" s="215"/>
      <c r="L17" s="172"/>
      <c r="M17" s="172"/>
      <c r="N17" s="163"/>
      <c r="O17" s="163"/>
      <c r="P17" s="163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</row>
    <row r="18" spans="1:30" ht="12">
      <c r="A18" s="245" t="s">
        <v>105</v>
      </c>
      <c r="B18" s="215">
        <f aca="true" t="shared" si="2" ref="B18:L20">+B39+B60</f>
        <v>611</v>
      </c>
      <c r="C18" s="215">
        <f t="shared" si="2"/>
        <v>2392</v>
      </c>
      <c r="D18" s="215">
        <f t="shared" si="2"/>
        <v>647</v>
      </c>
      <c r="E18" s="215">
        <f t="shared" si="2"/>
        <v>0</v>
      </c>
      <c r="F18" s="215">
        <f t="shared" si="2"/>
        <v>2717</v>
      </c>
      <c r="G18" s="215">
        <f t="shared" si="2"/>
        <v>2987</v>
      </c>
      <c r="H18" s="215">
        <f t="shared" si="2"/>
        <v>933</v>
      </c>
      <c r="I18" s="215">
        <f t="shared" si="2"/>
        <v>160</v>
      </c>
      <c r="J18" s="215">
        <f t="shared" si="2"/>
        <v>1063</v>
      </c>
      <c r="K18" s="215">
        <f t="shared" si="2"/>
        <v>1303</v>
      </c>
      <c r="L18" s="215">
        <f t="shared" si="2"/>
        <v>1793</v>
      </c>
      <c r="M18" s="172">
        <f>SUM(B18:L18)</f>
        <v>14606</v>
      </c>
      <c r="N18" s="177"/>
      <c r="O18" s="177"/>
      <c r="P18" s="177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</row>
    <row r="19" spans="1:30" ht="12">
      <c r="A19" s="245" t="s">
        <v>115</v>
      </c>
      <c r="B19" s="215">
        <f t="shared" si="2"/>
        <v>85</v>
      </c>
      <c r="C19" s="215">
        <f t="shared" si="2"/>
        <v>308</v>
      </c>
      <c r="D19" s="215">
        <f t="shared" si="2"/>
        <v>77</v>
      </c>
      <c r="E19" s="215">
        <f t="shared" si="2"/>
        <v>5</v>
      </c>
      <c r="F19" s="215">
        <f t="shared" si="2"/>
        <v>778</v>
      </c>
      <c r="G19" s="215">
        <f t="shared" si="2"/>
        <v>1007</v>
      </c>
      <c r="H19" s="215">
        <f t="shared" si="2"/>
        <v>194</v>
      </c>
      <c r="I19" s="215">
        <f t="shared" si="2"/>
        <v>13</v>
      </c>
      <c r="J19" s="215">
        <f t="shared" si="2"/>
        <v>355</v>
      </c>
      <c r="K19" s="215">
        <f t="shared" si="2"/>
        <v>277</v>
      </c>
      <c r="L19" s="215">
        <f t="shared" si="2"/>
        <v>392</v>
      </c>
      <c r="M19" s="172">
        <f>SUM(B19:L19)</f>
        <v>3491</v>
      </c>
      <c r="N19" s="150"/>
      <c r="O19" s="150"/>
      <c r="P19" s="150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</row>
    <row r="20" spans="1:58" ht="12">
      <c r="A20" s="245" t="s">
        <v>107</v>
      </c>
      <c r="B20" s="215">
        <f t="shared" si="2"/>
        <v>696</v>
      </c>
      <c r="C20" s="215">
        <f t="shared" si="2"/>
        <v>2700</v>
      </c>
      <c r="D20" s="215">
        <f t="shared" si="2"/>
        <v>724</v>
      </c>
      <c r="E20" s="215">
        <f t="shared" si="2"/>
        <v>5</v>
      </c>
      <c r="F20" s="215">
        <f t="shared" si="2"/>
        <v>3495</v>
      </c>
      <c r="G20" s="215">
        <f t="shared" si="2"/>
        <v>3994</v>
      </c>
      <c r="H20" s="215">
        <f t="shared" si="2"/>
        <v>1127</v>
      </c>
      <c r="I20" s="215">
        <f t="shared" si="2"/>
        <v>173</v>
      </c>
      <c r="J20" s="215">
        <f t="shared" si="2"/>
        <v>1418</v>
      </c>
      <c r="K20" s="215">
        <f t="shared" si="2"/>
        <v>1580</v>
      </c>
      <c r="L20" s="215">
        <f t="shared" si="2"/>
        <v>2185</v>
      </c>
      <c r="M20" s="217">
        <f>+M18+M19</f>
        <v>18097</v>
      </c>
      <c r="N20" s="158"/>
      <c r="O20" s="150"/>
      <c r="P20" s="150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</row>
    <row r="21" spans="1:30" ht="12">
      <c r="A21" s="244" t="s">
        <v>111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72"/>
      <c r="N21" s="150"/>
      <c r="O21" s="150"/>
      <c r="P21" s="150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</row>
    <row r="22" spans="1:16" ht="12">
      <c r="A22" s="245" t="s">
        <v>105</v>
      </c>
      <c r="B22" s="215">
        <f aca="true" t="shared" si="3" ref="B22:M23">B43+B64</f>
        <v>438</v>
      </c>
      <c r="C22" s="215">
        <f t="shared" si="3"/>
        <v>0</v>
      </c>
      <c r="D22" s="215">
        <f t="shared" si="3"/>
        <v>1522</v>
      </c>
      <c r="E22" s="215">
        <f t="shared" si="3"/>
        <v>5192</v>
      </c>
      <c r="F22" s="215">
        <f t="shared" si="3"/>
        <v>898</v>
      </c>
      <c r="G22" s="215">
        <f t="shared" si="3"/>
        <v>36</v>
      </c>
      <c r="H22" s="215">
        <f t="shared" si="3"/>
        <v>0</v>
      </c>
      <c r="I22" s="215">
        <f t="shared" si="3"/>
        <v>2813</v>
      </c>
      <c r="J22" s="215">
        <f t="shared" si="3"/>
        <v>1292</v>
      </c>
      <c r="K22" s="215">
        <f t="shared" si="3"/>
        <v>0</v>
      </c>
      <c r="L22" s="215">
        <f t="shared" si="3"/>
        <v>0</v>
      </c>
      <c r="M22" s="215">
        <f t="shared" si="3"/>
        <v>12191</v>
      </c>
      <c r="N22" s="181"/>
      <c r="O22" s="181"/>
      <c r="P22" s="181"/>
    </row>
    <row r="23" spans="1:16" ht="12">
      <c r="A23" s="245" t="s">
        <v>115</v>
      </c>
      <c r="B23" s="215">
        <f t="shared" si="3"/>
        <v>261</v>
      </c>
      <c r="C23" s="215">
        <f t="shared" si="3"/>
        <v>0</v>
      </c>
      <c r="D23" s="215">
        <f t="shared" si="3"/>
        <v>489</v>
      </c>
      <c r="E23" s="215">
        <f t="shared" si="3"/>
        <v>1670</v>
      </c>
      <c r="F23" s="215">
        <f t="shared" si="3"/>
        <v>418</v>
      </c>
      <c r="G23" s="215">
        <f t="shared" si="3"/>
        <v>0</v>
      </c>
      <c r="H23" s="215">
        <f t="shared" si="3"/>
        <v>0</v>
      </c>
      <c r="I23" s="215">
        <f t="shared" si="3"/>
        <v>586</v>
      </c>
      <c r="J23" s="215">
        <f t="shared" si="3"/>
        <v>134</v>
      </c>
      <c r="K23" s="215">
        <f t="shared" si="3"/>
        <v>0</v>
      </c>
      <c r="L23" s="215">
        <f t="shared" si="3"/>
        <v>0</v>
      </c>
      <c r="M23" s="215">
        <f t="shared" si="3"/>
        <v>3558</v>
      </c>
      <c r="N23" s="181"/>
      <c r="O23" s="181"/>
      <c r="P23" s="181"/>
    </row>
    <row r="24" spans="1:58" ht="12">
      <c r="A24" s="245" t="s">
        <v>107</v>
      </c>
      <c r="B24" s="215">
        <f>B22+B23</f>
        <v>699</v>
      </c>
      <c r="C24" s="215">
        <f aca="true" t="shared" si="4" ref="C24:L24">C22+C23</f>
        <v>0</v>
      </c>
      <c r="D24" s="215">
        <f t="shared" si="4"/>
        <v>2011</v>
      </c>
      <c r="E24" s="215">
        <f t="shared" si="4"/>
        <v>6862</v>
      </c>
      <c r="F24" s="215">
        <f t="shared" si="4"/>
        <v>1316</v>
      </c>
      <c r="G24" s="215">
        <f t="shared" si="4"/>
        <v>36</v>
      </c>
      <c r="H24" s="215">
        <f t="shared" si="4"/>
        <v>0</v>
      </c>
      <c r="I24" s="215">
        <f t="shared" si="4"/>
        <v>3399</v>
      </c>
      <c r="J24" s="215">
        <f t="shared" si="4"/>
        <v>1426</v>
      </c>
      <c r="K24" s="215">
        <f t="shared" si="4"/>
        <v>0</v>
      </c>
      <c r="L24" s="215">
        <f t="shared" si="4"/>
        <v>0</v>
      </c>
      <c r="M24" s="217">
        <f>+M22+M23</f>
        <v>15749</v>
      </c>
      <c r="N24" s="158"/>
      <c r="O24" s="150"/>
      <c r="P24" s="150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</row>
    <row r="25" spans="1:13" s="135" customFormat="1" ht="12">
      <c r="A25" s="244" t="s">
        <v>112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51"/>
    </row>
    <row r="26" spans="1:58" s="120" customFormat="1" ht="12">
      <c r="A26" s="245" t="s">
        <v>105</v>
      </c>
      <c r="B26" s="223">
        <f>+B22+B18+B14+B10</f>
        <v>2837</v>
      </c>
      <c r="C26" s="223">
        <f aca="true" t="shared" si="5" ref="C26:M27">+C22+C18+C14+C10</f>
        <v>6931</v>
      </c>
      <c r="D26" s="223">
        <f t="shared" si="5"/>
        <v>3633</v>
      </c>
      <c r="E26" s="223">
        <f t="shared" si="5"/>
        <v>6052</v>
      </c>
      <c r="F26" s="223">
        <f t="shared" si="5"/>
        <v>8917</v>
      </c>
      <c r="G26" s="223">
        <f t="shared" si="5"/>
        <v>11427</v>
      </c>
      <c r="H26" s="223">
        <f t="shared" si="5"/>
        <v>2968</v>
      </c>
      <c r="I26" s="223">
        <f t="shared" si="5"/>
        <v>5352</v>
      </c>
      <c r="J26" s="223">
        <f t="shared" si="5"/>
        <v>4813</v>
      </c>
      <c r="K26" s="223">
        <f t="shared" si="5"/>
        <v>5210</v>
      </c>
      <c r="L26" s="223">
        <f t="shared" si="5"/>
        <v>5865</v>
      </c>
      <c r="M26" s="223">
        <f t="shared" si="5"/>
        <v>64005</v>
      </c>
      <c r="N26" s="150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</row>
    <row r="27" spans="1:58" ht="12">
      <c r="A27" s="245" t="s">
        <v>115</v>
      </c>
      <c r="B27" s="223">
        <f>+B23+B19+B15+B11</f>
        <v>952</v>
      </c>
      <c r="C27" s="223">
        <f t="shared" si="5"/>
        <v>1441</v>
      </c>
      <c r="D27" s="223">
        <f t="shared" si="5"/>
        <v>953</v>
      </c>
      <c r="E27" s="223">
        <f t="shared" si="5"/>
        <v>2346</v>
      </c>
      <c r="F27" s="223">
        <f t="shared" si="5"/>
        <v>3359</v>
      </c>
      <c r="G27" s="223">
        <f t="shared" si="5"/>
        <v>3329</v>
      </c>
      <c r="H27" s="223">
        <f t="shared" si="5"/>
        <v>744</v>
      </c>
      <c r="I27" s="223">
        <f t="shared" si="5"/>
        <v>975</v>
      </c>
      <c r="J27" s="223">
        <f t="shared" si="5"/>
        <v>1489</v>
      </c>
      <c r="K27" s="223">
        <f t="shared" si="5"/>
        <v>1362</v>
      </c>
      <c r="L27" s="223">
        <f t="shared" si="5"/>
        <v>1127</v>
      </c>
      <c r="M27" s="223">
        <f t="shared" si="5"/>
        <v>18077</v>
      </c>
      <c r="N27" s="150"/>
      <c r="O27" s="150"/>
      <c r="P27" s="150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</row>
    <row r="28" spans="1:58" ht="12">
      <c r="A28" s="245" t="s">
        <v>107</v>
      </c>
      <c r="B28" s="217">
        <f aca="true" t="shared" si="6" ref="B28:L28">+B26+B27</f>
        <v>3789</v>
      </c>
      <c r="C28" s="217">
        <f t="shared" si="6"/>
        <v>8372</v>
      </c>
      <c r="D28" s="217">
        <f t="shared" si="6"/>
        <v>4586</v>
      </c>
      <c r="E28" s="217">
        <f t="shared" si="6"/>
        <v>8398</v>
      </c>
      <c r="F28" s="217">
        <f t="shared" si="6"/>
        <v>12276</v>
      </c>
      <c r="G28" s="217">
        <f t="shared" si="6"/>
        <v>14756</v>
      </c>
      <c r="H28" s="217">
        <f t="shared" si="6"/>
        <v>3712</v>
      </c>
      <c r="I28" s="217">
        <f t="shared" si="6"/>
        <v>6327</v>
      </c>
      <c r="J28" s="217">
        <f t="shared" si="6"/>
        <v>6302</v>
      </c>
      <c r="K28" s="217">
        <f t="shared" si="6"/>
        <v>6572</v>
      </c>
      <c r="L28" s="217">
        <f t="shared" si="6"/>
        <v>6992</v>
      </c>
      <c r="M28" s="217">
        <f>+M26+M27</f>
        <v>82082</v>
      </c>
      <c r="N28" s="150"/>
      <c r="O28" s="150"/>
      <c r="P28" s="150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</row>
    <row r="29" spans="1:58" ht="12">
      <c r="A29" s="135"/>
      <c r="B29" s="218"/>
      <c r="C29" s="218"/>
      <c r="D29" s="196"/>
      <c r="E29" s="218"/>
      <c r="F29" s="218" t="s">
        <v>114</v>
      </c>
      <c r="G29" s="218"/>
      <c r="H29" s="218"/>
      <c r="I29" s="218"/>
      <c r="J29" s="218"/>
      <c r="K29" s="196"/>
      <c r="L29" s="218"/>
      <c r="M29" s="218"/>
      <c r="N29" s="158"/>
      <c r="O29" s="150"/>
      <c r="P29" s="150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6"/>
      <c r="AU29" s="246"/>
      <c r="AV29" s="246"/>
      <c r="AW29" s="246"/>
      <c r="AX29" s="246"/>
      <c r="AY29" s="246"/>
      <c r="AZ29" s="246"/>
      <c r="BA29" s="246"/>
      <c r="BB29" s="246"/>
      <c r="BC29" s="246"/>
      <c r="BD29" s="246"/>
      <c r="BE29" s="246"/>
      <c r="BF29" s="246"/>
    </row>
    <row r="30" spans="1:58" s="250" customFormat="1" ht="12">
      <c r="A30" s="244" t="s">
        <v>104</v>
      </c>
      <c r="B30" s="215"/>
      <c r="C30" s="215"/>
      <c r="D30" s="169"/>
      <c r="E30" s="169"/>
      <c r="F30" s="169"/>
      <c r="G30" s="169"/>
      <c r="H30" s="215"/>
      <c r="I30" s="169"/>
      <c r="J30" s="169"/>
      <c r="K30" s="215"/>
      <c r="L30" s="169"/>
      <c r="M30" s="172"/>
      <c r="N30" s="164"/>
      <c r="O30" s="150"/>
      <c r="P30" s="150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249"/>
      <c r="AZ30" s="249"/>
      <c r="BA30" s="249"/>
      <c r="BB30" s="249"/>
      <c r="BC30" s="249"/>
      <c r="BD30" s="249"/>
      <c r="BE30" s="249"/>
      <c r="BF30" s="249"/>
    </row>
    <row r="31" spans="1:58" ht="13.5" customHeight="1">
      <c r="A31" s="245" t="s">
        <v>105</v>
      </c>
      <c r="B31" s="37">
        <v>0</v>
      </c>
      <c r="C31" s="37">
        <v>0</v>
      </c>
      <c r="D31" s="37">
        <v>1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172">
        <f>SUM(B31:L31)</f>
        <v>1</v>
      </c>
      <c r="N31" s="167"/>
      <c r="O31" s="167"/>
      <c r="P31" s="167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</row>
    <row r="32" spans="1:30" ht="12">
      <c r="A32" s="245" t="s">
        <v>115</v>
      </c>
      <c r="B32" s="37">
        <v>20</v>
      </c>
      <c r="C32" s="37">
        <v>41</v>
      </c>
      <c r="D32" s="37">
        <v>10</v>
      </c>
      <c r="E32" s="37">
        <v>103</v>
      </c>
      <c r="F32" s="37">
        <v>139</v>
      </c>
      <c r="G32" s="37">
        <v>104</v>
      </c>
      <c r="H32" s="37">
        <v>1</v>
      </c>
      <c r="I32" s="37">
        <v>42</v>
      </c>
      <c r="J32" s="37">
        <v>23</v>
      </c>
      <c r="K32" s="37">
        <v>26</v>
      </c>
      <c r="L32" s="37">
        <v>42</v>
      </c>
      <c r="M32" s="172">
        <f>SUM(B32:L32)</f>
        <v>551</v>
      </c>
      <c r="N32" s="167"/>
      <c r="O32" s="167"/>
      <c r="P32" s="167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</row>
    <row r="33" spans="1:58" ht="12">
      <c r="A33" s="245" t="s">
        <v>107</v>
      </c>
      <c r="B33" s="217">
        <f aca="true" t="shared" si="7" ref="B33:M33">+B31+B32</f>
        <v>20</v>
      </c>
      <c r="C33" s="217">
        <f t="shared" si="7"/>
        <v>41</v>
      </c>
      <c r="D33" s="217">
        <f t="shared" si="7"/>
        <v>11</v>
      </c>
      <c r="E33" s="217">
        <f t="shared" si="7"/>
        <v>103</v>
      </c>
      <c r="F33" s="217">
        <f t="shared" si="7"/>
        <v>139</v>
      </c>
      <c r="G33" s="217">
        <f t="shared" si="7"/>
        <v>104</v>
      </c>
      <c r="H33" s="217">
        <f t="shared" si="7"/>
        <v>1</v>
      </c>
      <c r="I33" s="217">
        <f t="shared" si="7"/>
        <v>42</v>
      </c>
      <c r="J33" s="217">
        <f t="shared" si="7"/>
        <v>23</v>
      </c>
      <c r="K33" s="217">
        <f t="shared" si="7"/>
        <v>26</v>
      </c>
      <c r="L33" s="217">
        <f t="shared" si="7"/>
        <v>42</v>
      </c>
      <c r="M33" s="217">
        <f t="shared" si="7"/>
        <v>552</v>
      </c>
      <c r="N33" s="158"/>
      <c r="O33" s="150"/>
      <c r="P33" s="150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</row>
    <row r="34" spans="1:30" ht="12">
      <c r="A34" s="244" t="s">
        <v>109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72"/>
      <c r="N34" s="171"/>
      <c r="O34" s="171"/>
      <c r="P34" s="171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</row>
    <row r="35" spans="1:30" ht="12">
      <c r="A35" s="245" t="s">
        <v>105</v>
      </c>
      <c r="B35" s="223">
        <v>1076</v>
      </c>
      <c r="C35" s="223">
        <v>2534</v>
      </c>
      <c r="D35" s="37">
        <v>888</v>
      </c>
      <c r="E35" s="37">
        <v>305</v>
      </c>
      <c r="F35" s="223">
        <v>3931</v>
      </c>
      <c r="G35" s="223">
        <v>3107</v>
      </c>
      <c r="H35" s="37">
        <v>414</v>
      </c>
      <c r="I35" s="37">
        <v>618</v>
      </c>
      <c r="J35" s="37">
        <v>409</v>
      </c>
      <c r="K35" s="223">
        <v>2522</v>
      </c>
      <c r="L35" s="223">
        <v>1483</v>
      </c>
      <c r="M35" s="172">
        <f>SUM(B35:L35)</f>
        <v>17287</v>
      </c>
      <c r="N35" s="150"/>
      <c r="O35" s="150"/>
      <c r="P35" s="150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</row>
    <row r="36" spans="1:30" ht="12">
      <c r="A36" s="245" t="s">
        <v>115</v>
      </c>
      <c r="B36" s="37">
        <v>364</v>
      </c>
      <c r="C36" s="37">
        <v>598</v>
      </c>
      <c r="D36" s="37">
        <v>192</v>
      </c>
      <c r="E36" s="37">
        <v>148</v>
      </c>
      <c r="F36" s="37">
        <v>1497</v>
      </c>
      <c r="G36" s="37">
        <v>774</v>
      </c>
      <c r="H36" s="37">
        <v>114</v>
      </c>
      <c r="I36" s="37">
        <v>139</v>
      </c>
      <c r="J36" s="37">
        <v>123</v>
      </c>
      <c r="K36" s="37">
        <v>703</v>
      </c>
      <c r="L36" s="37">
        <v>276</v>
      </c>
      <c r="M36" s="172">
        <f>SUM(B36:L36)</f>
        <v>4928</v>
      </c>
      <c r="N36" s="164"/>
      <c r="O36" s="164"/>
      <c r="P36" s="164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</row>
    <row r="37" spans="1:58" ht="12">
      <c r="A37" s="245" t="s">
        <v>107</v>
      </c>
      <c r="B37" s="217">
        <f aca="true" t="shared" si="8" ref="B37:M37">+B35+B36</f>
        <v>1440</v>
      </c>
      <c r="C37" s="217">
        <f t="shared" si="8"/>
        <v>3132</v>
      </c>
      <c r="D37" s="217">
        <f t="shared" si="8"/>
        <v>1080</v>
      </c>
      <c r="E37" s="217">
        <f t="shared" si="8"/>
        <v>453</v>
      </c>
      <c r="F37" s="217">
        <f t="shared" si="8"/>
        <v>5428</v>
      </c>
      <c r="G37" s="217">
        <f t="shared" si="8"/>
        <v>3881</v>
      </c>
      <c r="H37" s="217">
        <f t="shared" si="8"/>
        <v>528</v>
      </c>
      <c r="I37" s="217">
        <f t="shared" si="8"/>
        <v>757</v>
      </c>
      <c r="J37" s="217">
        <f t="shared" si="8"/>
        <v>532</v>
      </c>
      <c r="K37" s="217">
        <f t="shared" si="8"/>
        <v>3225</v>
      </c>
      <c r="L37" s="217">
        <f t="shared" si="8"/>
        <v>1759</v>
      </c>
      <c r="M37" s="217">
        <f t="shared" si="8"/>
        <v>22215</v>
      </c>
      <c r="N37" s="158"/>
      <c r="O37" s="150"/>
      <c r="P37" s="150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  <c r="BC37" s="246"/>
      <c r="BD37" s="246"/>
      <c r="BE37" s="246"/>
      <c r="BF37" s="246"/>
    </row>
    <row r="38" spans="1:58" ht="12">
      <c r="A38" s="244" t="s">
        <v>117</v>
      </c>
      <c r="B38" s="169"/>
      <c r="C38" s="215"/>
      <c r="D38" s="215"/>
      <c r="E38" s="215"/>
      <c r="F38" s="169"/>
      <c r="G38" s="169"/>
      <c r="H38" s="169"/>
      <c r="I38" s="169"/>
      <c r="J38" s="172"/>
      <c r="K38" s="215"/>
      <c r="L38" s="172"/>
      <c r="M38" s="172"/>
      <c r="N38" s="158"/>
      <c r="O38" s="150"/>
      <c r="P38" s="150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246"/>
      <c r="BA38" s="246"/>
      <c r="BB38" s="246"/>
      <c r="BC38" s="246"/>
      <c r="BD38" s="246"/>
      <c r="BE38" s="246"/>
      <c r="BF38" s="246"/>
    </row>
    <row r="39" spans="1:58" ht="12">
      <c r="A39" s="245" t="s">
        <v>105</v>
      </c>
      <c r="B39" s="37">
        <v>336</v>
      </c>
      <c r="C39" s="37">
        <v>1229</v>
      </c>
      <c r="D39" s="37">
        <v>317</v>
      </c>
      <c r="E39" s="37"/>
      <c r="F39" s="223">
        <v>1982</v>
      </c>
      <c r="G39" s="37">
        <v>1103</v>
      </c>
      <c r="H39" s="37">
        <v>143</v>
      </c>
      <c r="I39" s="37">
        <v>36</v>
      </c>
      <c r="J39" s="37">
        <v>175</v>
      </c>
      <c r="K39" s="37">
        <v>723</v>
      </c>
      <c r="L39" s="37">
        <v>575</v>
      </c>
      <c r="M39" s="172">
        <f>SUM(B39:L39)</f>
        <v>6619</v>
      </c>
      <c r="N39" s="158"/>
      <c r="O39" s="150"/>
      <c r="P39" s="150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  <c r="BA39" s="246"/>
      <c r="BB39" s="246"/>
      <c r="BC39" s="246"/>
      <c r="BD39" s="246"/>
      <c r="BE39" s="246"/>
      <c r="BF39" s="246"/>
    </row>
    <row r="40" spans="1:58" ht="12">
      <c r="A40" s="245" t="s">
        <v>115</v>
      </c>
      <c r="B40" s="37">
        <v>59</v>
      </c>
      <c r="C40" s="37">
        <v>163</v>
      </c>
      <c r="D40" s="37">
        <v>31</v>
      </c>
      <c r="E40" s="37">
        <v>3</v>
      </c>
      <c r="F40" s="37">
        <v>605</v>
      </c>
      <c r="G40" s="37">
        <v>384</v>
      </c>
      <c r="H40" s="37">
        <v>32</v>
      </c>
      <c r="I40" s="37">
        <v>4</v>
      </c>
      <c r="J40" s="37">
        <v>59</v>
      </c>
      <c r="K40" s="37">
        <v>172</v>
      </c>
      <c r="L40" s="37">
        <v>131</v>
      </c>
      <c r="M40" s="172">
        <f>SUM(B40:L40)</f>
        <v>1643</v>
      </c>
      <c r="N40" s="158"/>
      <c r="O40" s="150"/>
      <c r="P40" s="150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</row>
    <row r="41" spans="1:58" ht="12">
      <c r="A41" s="245" t="s">
        <v>107</v>
      </c>
      <c r="B41" s="217">
        <f aca="true" t="shared" si="9" ref="B41:M41">+B39+B40</f>
        <v>395</v>
      </c>
      <c r="C41" s="217">
        <f t="shared" si="9"/>
        <v>1392</v>
      </c>
      <c r="D41" s="217">
        <f t="shared" si="9"/>
        <v>348</v>
      </c>
      <c r="E41" s="217">
        <f t="shared" si="9"/>
        <v>3</v>
      </c>
      <c r="F41" s="217">
        <f t="shared" si="9"/>
        <v>2587</v>
      </c>
      <c r="G41" s="217">
        <f t="shared" si="9"/>
        <v>1487</v>
      </c>
      <c r="H41" s="217">
        <f t="shared" si="9"/>
        <v>175</v>
      </c>
      <c r="I41" s="217">
        <f t="shared" si="9"/>
        <v>40</v>
      </c>
      <c r="J41" s="217">
        <f t="shared" si="9"/>
        <v>234</v>
      </c>
      <c r="K41" s="217">
        <f t="shared" si="9"/>
        <v>895</v>
      </c>
      <c r="L41" s="217">
        <f t="shared" si="9"/>
        <v>706</v>
      </c>
      <c r="M41" s="217">
        <f t="shared" si="9"/>
        <v>8262</v>
      </c>
      <c r="N41" s="158"/>
      <c r="O41" s="150"/>
      <c r="P41" s="150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</row>
    <row r="42" spans="1:30" ht="12">
      <c r="A42" s="244" t="s">
        <v>111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72"/>
      <c r="N42" s="150"/>
      <c r="O42" s="150"/>
      <c r="P42" s="150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</row>
    <row r="43" spans="1:16" ht="12">
      <c r="A43" s="245" t="s">
        <v>105</v>
      </c>
      <c r="B43" s="37">
        <v>117</v>
      </c>
      <c r="C43" s="37"/>
      <c r="D43" s="37">
        <v>405</v>
      </c>
      <c r="E43" s="37">
        <v>1853</v>
      </c>
      <c r="F43" s="37">
        <v>380</v>
      </c>
      <c r="G43" s="37">
        <v>4</v>
      </c>
      <c r="H43" s="37"/>
      <c r="I43" s="37">
        <v>1319</v>
      </c>
      <c r="J43" s="37">
        <v>88</v>
      </c>
      <c r="K43" s="37"/>
      <c r="L43" s="37"/>
      <c r="M43" s="172">
        <f>SUM(B43:L43)</f>
        <v>4166</v>
      </c>
      <c r="N43" s="181"/>
      <c r="O43" s="181"/>
      <c r="P43" s="181"/>
    </row>
    <row r="44" spans="1:16" ht="12">
      <c r="A44" s="245" t="s">
        <v>115</v>
      </c>
      <c r="B44" s="37">
        <v>71</v>
      </c>
      <c r="C44" s="37">
        <v>0</v>
      </c>
      <c r="D44" s="37">
        <v>141</v>
      </c>
      <c r="E44" s="37">
        <v>671</v>
      </c>
      <c r="F44" s="37">
        <v>205</v>
      </c>
      <c r="G44" s="37">
        <v>0</v>
      </c>
      <c r="H44" s="37">
        <v>0</v>
      </c>
      <c r="I44" s="37">
        <v>264</v>
      </c>
      <c r="J44" s="37">
        <v>5</v>
      </c>
      <c r="K44" s="37">
        <v>0</v>
      </c>
      <c r="L44" s="37">
        <v>0</v>
      </c>
      <c r="M44" s="172">
        <f>SUM(B44:L44)</f>
        <v>1357</v>
      </c>
      <c r="N44" s="181"/>
      <c r="O44" s="181"/>
      <c r="P44" s="181"/>
    </row>
    <row r="45" spans="1:72" ht="12">
      <c r="A45" s="245" t="s">
        <v>107</v>
      </c>
      <c r="B45" s="217">
        <f aca="true" t="shared" si="10" ref="B45:M45">+B43+B44</f>
        <v>188</v>
      </c>
      <c r="C45" s="217">
        <f t="shared" si="10"/>
        <v>0</v>
      </c>
      <c r="D45" s="217">
        <f t="shared" si="10"/>
        <v>546</v>
      </c>
      <c r="E45" s="217">
        <f t="shared" si="10"/>
        <v>2524</v>
      </c>
      <c r="F45" s="217">
        <f t="shared" si="10"/>
        <v>585</v>
      </c>
      <c r="G45" s="217">
        <f t="shared" si="10"/>
        <v>4</v>
      </c>
      <c r="H45" s="217">
        <f t="shared" si="10"/>
        <v>0</v>
      </c>
      <c r="I45" s="217">
        <f t="shared" si="10"/>
        <v>1583</v>
      </c>
      <c r="J45" s="217">
        <f t="shared" si="10"/>
        <v>93</v>
      </c>
      <c r="K45" s="217">
        <f t="shared" si="10"/>
        <v>0</v>
      </c>
      <c r="L45" s="217">
        <f t="shared" si="10"/>
        <v>0</v>
      </c>
      <c r="M45" s="217">
        <f t="shared" si="10"/>
        <v>5523</v>
      </c>
      <c r="N45" s="158"/>
      <c r="O45" s="150"/>
      <c r="P45" s="150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6"/>
      <c r="BP45" s="246"/>
      <c r="BQ45" s="246"/>
      <c r="BR45" s="246"/>
      <c r="BS45" s="246"/>
      <c r="BT45" s="246"/>
    </row>
    <row r="46" spans="1:13" s="135" customFormat="1" ht="12">
      <c r="A46" s="244" t="s">
        <v>112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51"/>
    </row>
    <row r="47" spans="1:13" s="135" customFormat="1" ht="12">
      <c r="A47" s="245" t="s">
        <v>105</v>
      </c>
      <c r="B47" s="223">
        <f>+B43+B39+B35+B31</f>
        <v>1529</v>
      </c>
      <c r="C47" s="223">
        <f aca="true" t="shared" si="11" ref="C47:M48">+C43+C39+C35+C31</f>
        <v>3763</v>
      </c>
      <c r="D47" s="223">
        <f t="shared" si="11"/>
        <v>1611</v>
      </c>
      <c r="E47" s="223">
        <f t="shared" si="11"/>
        <v>2158</v>
      </c>
      <c r="F47" s="223">
        <f t="shared" si="11"/>
        <v>6293</v>
      </c>
      <c r="G47" s="223">
        <f t="shared" si="11"/>
        <v>4214</v>
      </c>
      <c r="H47" s="223">
        <f t="shared" si="11"/>
        <v>557</v>
      </c>
      <c r="I47" s="223">
        <f t="shared" si="11"/>
        <v>1973</v>
      </c>
      <c r="J47" s="223">
        <f t="shared" si="11"/>
        <v>672</v>
      </c>
      <c r="K47" s="223">
        <f t="shared" si="11"/>
        <v>3245</v>
      </c>
      <c r="L47" s="223">
        <f t="shared" si="11"/>
        <v>2058</v>
      </c>
      <c r="M47" s="223">
        <f t="shared" si="11"/>
        <v>28073</v>
      </c>
    </row>
    <row r="48" spans="1:13" s="135" customFormat="1" ht="12">
      <c r="A48" s="245" t="s">
        <v>115</v>
      </c>
      <c r="B48" s="223">
        <f>+B44+B40+B36+B32</f>
        <v>514</v>
      </c>
      <c r="C48" s="223">
        <f t="shared" si="11"/>
        <v>802</v>
      </c>
      <c r="D48" s="223">
        <f t="shared" si="11"/>
        <v>374</v>
      </c>
      <c r="E48" s="223">
        <f t="shared" si="11"/>
        <v>925</v>
      </c>
      <c r="F48" s="223">
        <f t="shared" si="11"/>
        <v>2446</v>
      </c>
      <c r="G48" s="223">
        <f t="shared" si="11"/>
        <v>1262</v>
      </c>
      <c r="H48" s="223">
        <f t="shared" si="11"/>
        <v>147</v>
      </c>
      <c r="I48" s="223">
        <f t="shared" si="11"/>
        <v>449</v>
      </c>
      <c r="J48" s="223">
        <f t="shared" si="11"/>
        <v>210</v>
      </c>
      <c r="K48" s="223">
        <f t="shared" si="11"/>
        <v>901</v>
      </c>
      <c r="L48" s="223">
        <f t="shared" si="11"/>
        <v>449</v>
      </c>
      <c r="M48" s="223">
        <f t="shared" si="11"/>
        <v>8479</v>
      </c>
    </row>
    <row r="49" spans="1:13" s="135" customFormat="1" ht="12">
      <c r="A49" s="245" t="s">
        <v>107</v>
      </c>
      <c r="B49" s="217">
        <f aca="true" t="shared" si="12" ref="B49:M49">+B47+B48</f>
        <v>2043</v>
      </c>
      <c r="C49" s="217">
        <f>+C47+C48</f>
        <v>4565</v>
      </c>
      <c r="D49" s="217">
        <f t="shared" si="12"/>
        <v>1985</v>
      </c>
      <c r="E49" s="217">
        <f t="shared" si="12"/>
        <v>3083</v>
      </c>
      <c r="F49" s="217">
        <f t="shared" si="12"/>
        <v>8739</v>
      </c>
      <c r="G49" s="217">
        <f t="shared" si="12"/>
        <v>5476</v>
      </c>
      <c r="H49" s="217">
        <f t="shared" si="12"/>
        <v>704</v>
      </c>
      <c r="I49" s="217">
        <f t="shared" si="12"/>
        <v>2422</v>
      </c>
      <c r="J49" s="217">
        <f t="shared" si="12"/>
        <v>882</v>
      </c>
      <c r="K49" s="217">
        <f t="shared" si="12"/>
        <v>4146</v>
      </c>
      <c r="L49" s="217">
        <f t="shared" si="12"/>
        <v>2507</v>
      </c>
      <c r="M49" s="217">
        <f t="shared" si="12"/>
        <v>36552</v>
      </c>
    </row>
    <row r="50" spans="2:13" s="135" customFormat="1" ht="12">
      <c r="B50" s="218"/>
      <c r="C50" s="218"/>
      <c r="D50" s="196"/>
      <c r="E50" s="218"/>
      <c r="F50" s="218" t="s">
        <v>65</v>
      </c>
      <c r="G50" s="218"/>
      <c r="H50" s="218"/>
      <c r="I50" s="218"/>
      <c r="J50" s="218"/>
      <c r="K50" s="196"/>
      <c r="L50" s="218"/>
      <c r="M50" s="218"/>
    </row>
    <row r="51" spans="1:58" s="250" customFormat="1" ht="12">
      <c r="A51" s="244" t="s">
        <v>104</v>
      </c>
      <c r="B51" s="215"/>
      <c r="C51" s="215"/>
      <c r="D51" s="169"/>
      <c r="E51" s="169"/>
      <c r="F51" s="169"/>
      <c r="G51" s="169"/>
      <c r="H51" s="215"/>
      <c r="I51" s="169"/>
      <c r="J51" s="169"/>
      <c r="K51" s="215"/>
      <c r="L51" s="169"/>
      <c r="M51" s="172"/>
      <c r="N51" s="164"/>
      <c r="O51" s="150"/>
      <c r="P51" s="150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49"/>
      <c r="AU51" s="249"/>
      <c r="AV51" s="249"/>
      <c r="AW51" s="249"/>
      <c r="AX51" s="249"/>
      <c r="AY51" s="249"/>
      <c r="AZ51" s="249"/>
      <c r="BA51" s="249"/>
      <c r="BB51" s="249"/>
      <c r="BC51" s="249"/>
      <c r="BD51" s="249"/>
      <c r="BE51" s="249"/>
      <c r="BF51" s="249"/>
    </row>
    <row r="52" spans="1:58" ht="13.5" customHeight="1">
      <c r="A52" s="245" t="s">
        <v>105</v>
      </c>
      <c r="B52" s="37">
        <v>0</v>
      </c>
      <c r="C52" s="37">
        <v>0</v>
      </c>
      <c r="D52" s="37">
        <v>2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1</v>
      </c>
      <c r="K52" s="37">
        <v>0</v>
      </c>
      <c r="L52" s="37">
        <v>0</v>
      </c>
      <c r="M52" s="172">
        <f>SUM(B52:L52)</f>
        <v>3</v>
      </c>
      <c r="N52" s="167"/>
      <c r="O52" s="167"/>
      <c r="P52" s="167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246"/>
      <c r="BC52" s="246"/>
      <c r="BD52" s="246"/>
      <c r="BE52" s="246"/>
      <c r="BF52" s="246"/>
    </row>
    <row r="53" spans="1:30" ht="12">
      <c r="A53" s="245" t="s">
        <v>115</v>
      </c>
      <c r="B53" s="37">
        <v>17</v>
      </c>
      <c r="C53" s="37">
        <v>35</v>
      </c>
      <c r="D53" s="37">
        <v>37</v>
      </c>
      <c r="E53" s="37">
        <v>192</v>
      </c>
      <c r="F53" s="37">
        <v>35</v>
      </c>
      <c r="G53" s="37">
        <v>167</v>
      </c>
      <c r="H53" s="37">
        <v>55</v>
      </c>
      <c r="I53" s="37">
        <v>28</v>
      </c>
      <c r="J53" s="37">
        <v>243</v>
      </c>
      <c r="K53" s="37">
        <v>32</v>
      </c>
      <c r="L53" s="37">
        <v>71</v>
      </c>
      <c r="M53" s="172">
        <f>SUM(B53:L53)</f>
        <v>912</v>
      </c>
      <c r="N53" s="167"/>
      <c r="O53" s="167"/>
      <c r="P53" s="167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</row>
    <row r="54" spans="1:58" ht="12">
      <c r="A54" s="245" t="s">
        <v>107</v>
      </c>
      <c r="B54" s="217">
        <f aca="true" t="shared" si="13" ref="B54:M54">+B52+B53</f>
        <v>17</v>
      </c>
      <c r="C54" s="217">
        <f t="shared" si="13"/>
        <v>35</v>
      </c>
      <c r="D54" s="217">
        <f t="shared" si="13"/>
        <v>39</v>
      </c>
      <c r="E54" s="217">
        <f t="shared" si="13"/>
        <v>192</v>
      </c>
      <c r="F54" s="217">
        <f t="shared" si="13"/>
        <v>35</v>
      </c>
      <c r="G54" s="217">
        <f t="shared" si="13"/>
        <v>167</v>
      </c>
      <c r="H54" s="217">
        <f t="shared" si="13"/>
        <v>55</v>
      </c>
      <c r="I54" s="217">
        <f t="shared" si="13"/>
        <v>28</v>
      </c>
      <c r="J54" s="217">
        <f t="shared" si="13"/>
        <v>244</v>
      </c>
      <c r="K54" s="217">
        <f t="shared" si="13"/>
        <v>32</v>
      </c>
      <c r="L54" s="217">
        <f t="shared" si="13"/>
        <v>71</v>
      </c>
      <c r="M54" s="217">
        <f t="shared" si="13"/>
        <v>915</v>
      </c>
      <c r="N54" s="158"/>
      <c r="O54" s="150"/>
      <c r="P54" s="150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</row>
    <row r="55" spans="1:30" ht="12">
      <c r="A55" s="244" t="s">
        <v>109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72"/>
      <c r="N55" s="171"/>
      <c r="O55" s="171"/>
      <c r="P55" s="171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</row>
    <row r="56" spans="1:30" ht="12">
      <c r="A56" s="245" t="s">
        <v>105</v>
      </c>
      <c r="B56" s="37">
        <v>712</v>
      </c>
      <c r="C56" s="37">
        <v>2005</v>
      </c>
      <c r="D56" s="37">
        <v>573</v>
      </c>
      <c r="E56" s="37">
        <v>555</v>
      </c>
      <c r="F56" s="37">
        <v>1371</v>
      </c>
      <c r="G56" s="37">
        <v>5297</v>
      </c>
      <c r="H56" s="37">
        <v>1621</v>
      </c>
      <c r="I56" s="37">
        <v>1761</v>
      </c>
      <c r="J56" s="37">
        <v>2048</v>
      </c>
      <c r="K56" s="37">
        <v>1385</v>
      </c>
      <c r="L56" s="37">
        <v>2589</v>
      </c>
      <c r="M56" s="172">
        <f>SUM(B56:L56)</f>
        <v>19917</v>
      </c>
      <c r="N56" s="150"/>
      <c r="O56" s="150"/>
      <c r="P56" s="150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</row>
    <row r="57" spans="1:30" ht="12">
      <c r="A57" s="245" t="s">
        <v>115</v>
      </c>
      <c r="B57" s="37">
        <v>205</v>
      </c>
      <c r="C57" s="37">
        <v>459</v>
      </c>
      <c r="D57" s="37">
        <v>148</v>
      </c>
      <c r="E57" s="37">
        <v>228</v>
      </c>
      <c r="F57" s="37">
        <v>492</v>
      </c>
      <c r="G57" s="37">
        <v>1277</v>
      </c>
      <c r="H57" s="37">
        <v>380</v>
      </c>
      <c r="I57" s="37">
        <v>167</v>
      </c>
      <c r="J57" s="37">
        <v>611</v>
      </c>
      <c r="K57" s="37">
        <v>324</v>
      </c>
      <c r="L57" s="37">
        <v>346</v>
      </c>
      <c r="M57" s="172">
        <f>SUM(B57:L57)</f>
        <v>4637</v>
      </c>
      <c r="N57" s="164"/>
      <c r="O57" s="164"/>
      <c r="P57" s="164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</row>
    <row r="58" spans="1:58" ht="12">
      <c r="A58" s="245" t="s">
        <v>107</v>
      </c>
      <c r="B58" s="217">
        <f aca="true" t="shared" si="14" ref="B58:M58">+B56+B57</f>
        <v>917</v>
      </c>
      <c r="C58" s="217">
        <f t="shared" si="14"/>
        <v>2464</v>
      </c>
      <c r="D58" s="217">
        <f t="shared" si="14"/>
        <v>721</v>
      </c>
      <c r="E58" s="217">
        <f t="shared" si="14"/>
        <v>783</v>
      </c>
      <c r="F58" s="217">
        <f t="shared" si="14"/>
        <v>1863</v>
      </c>
      <c r="G58" s="217">
        <f t="shared" si="14"/>
        <v>6574</v>
      </c>
      <c r="H58" s="217">
        <f>+H56+H57</f>
        <v>2001</v>
      </c>
      <c r="I58" s="217">
        <f t="shared" si="14"/>
        <v>1928</v>
      </c>
      <c r="J58" s="217">
        <f t="shared" si="14"/>
        <v>2659</v>
      </c>
      <c r="K58" s="217">
        <f t="shared" si="14"/>
        <v>1709</v>
      </c>
      <c r="L58" s="217">
        <f t="shared" si="14"/>
        <v>2935</v>
      </c>
      <c r="M58" s="217">
        <f t="shared" si="14"/>
        <v>24554</v>
      </c>
      <c r="N58" s="158"/>
      <c r="O58" s="150"/>
      <c r="P58" s="150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6"/>
      <c r="BF58" s="246"/>
    </row>
    <row r="59" spans="1:30" ht="12">
      <c r="A59" s="244" t="s">
        <v>117</v>
      </c>
      <c r="B59" s="169"/>
      <c r="C59" s="215"/>
      <c r="D59" s="215"/>
      <c r="E59" s="215"/>
      <c r="F59" s="169"/>
      <c r="G59" s="169"/>
      <c r="H59" s="169"/>
      <c r="I59" s="169"/>
      <c r="J59" s="172"/>
      <c r="K59" s="215"/>
      <c r="L59" s="172"/>
      <c r="M59" s="172"/>
      <c r="N59" s="163"/>
      <c r="O59" s="163"/>
      <c r="P59" s="163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</row>
    <row r="60" spans="1:30" ht="12">
      <c r="A60" s="245" t="s">
        <v>105</v>
      </c>
      <c r="B60" s="37">
        <v>275</v>
      </c>
      <c r="C60" s="37">
        <v>1163</v>
      </c>
      <c r="D60" s="37">
        <v>330</v>
      </c>
      <c r="E60" s="37">
        <v>0</v>
      </c>
      <c r="F60" s="37">
        <v>735</v>
      </c>
      <c r="G60" s="37">
        <v>1884</v>
      </c>
      <c r="H60" s="37">
        <v>790</v>
      </c>
      <c r="I60" s="37">
        <v>124</v>
      </c>
      <c r="J60" s="37">
        <v>888</v>
      </c>
      <c r="K60" s="37">
        <v>580</v>
      </c>
      <c r="L60" s="37">
        <v>1218</v>
      </c>
      <c r="M60" s="172">
        <f>SUM(B60:L60)</f>
        <v>7987</v>
      </c>
      <c r="N60" s="177"/>
      <c r="O60" s="177"/>
      <c r="P60" s="177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</row>
    <row r="61" spans="1:30" ht="12">
      <c r="A61" s="245" t="s">
        <v>115</v>
      </c>
      <c r="B61" s="37">
        <v>26</v>
      </c>
      <c r="C61" s="37">
        <v>145</v>
      </c>
      <c r="D61" s="37">
        <v>46</v>
      </c>
      <c r="E61" s="37">
        <v>2</v>
      </c>
      <c r="F61" s="37">
        <v>173</v>
      </c>
      <c r="G61" s="37">
        <v>623</v>
      </c>
      <c r="H61" s="37">
        <v>162</v>
      </c>
      <c r="I61" s="37">
        <v>9</v>
      </c>
      <c r="J61" s="37">
        <v>296</v>
      </c>
      <c r="K61" s="37">
        <v>105</v>
      </c>
      <c r="L61" s="37">
        <v>261</v>
      </c>
      <c r="M61" s="172">
        <f>SUM(B61:L61)</f>
        <v>1848</v>
      </c>
      <c r="N61" s="150"/>
      <c r="O61" s="150"/>
      <c r="P61" s="150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</row>
    <row r="62" spans="1:58" ht="12">
      <c r="A62" s="245" t="s">
        <v>107</v>
      </c>
      <c r="B62" s="217">
        <f aca="true" t="shared" si="15" ref="B62:H62">+B60+B61</f>
        <v>301</v>
      </c>
      <c r="C62" s="217">
        <f t="shared" si="15"/>
        <v>1308</v>
      </c>
      <c r="D62" s="217">
        <f t="shared" si="15"/>
        <v>376</v>
      </c>
      <c r="E62" s="217">
        <f t="shared" si="15"/>
        <v>2</v>
      </c>
      <c r="F62" s="217">
        <f t="shared" si="15"/>
        <v>908</v>
      </c>
      <c r="G62" s="217">
        <f t="shared" si="15"/>
        <v>2507</v>
      </c>
      <c r="H62" s="217">
        <f t="shared" si="15"/>
        <v>952</v>
      </c>
      <c r="I62" s="217">
        <f>+I60+I61</f>
        <v>133</v>
      </c>
      <c r="J62" s="217">
        <f>+J60+J61</f>
        <v>1184</v>
      </c>
      <c r="K62" s="217">
        <f>+K60+K61</f>
        <v>685</v>
      </c>
      <c r="L62" s="217">
        <f>+L60+L61</f>
        <v>1479</v>
      </c>
      <c r="M62" s="217">
        <f>+M60+M61</f>
        <v>9835</v>
      </c>
      <c r="N62" s="158"/>
      <c r="O62" s="150"/>
      <c r="P62" s="150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  <c r="AM62" s="246"/>
      <c r="AN62" s="246"/>
      <c r="AO62" s="246"/>
      <c r="AP62" s="246"/>
      <c r="AQ62" s="246"/>
      <c r="AR62" s="246"/>
      <c r="AS62" s="246"/>
      <c r="AT62" s="246"/>
      <c r="AU62" s="246"/>
      <c r="AV62" s="246"/>
      <c r="AW62" s="246"/>
      <c r="AX62" s="246"/>
      <c r="AY62" s="246"/>
      <c r="AZ62" s="246"/>
      <c r="BA62" s="246"/>
      <c r="BB62" s="246"/>
      <c r="BC62" s="246"/>
      <c r="BD62" s="246"/>
      <c r="BE62" s="246"/>
      <c r="BF62" s="246"/>
    </row>
    <row r="63" spans="1:30" ht="12">
      <c r="A63" s="244" t="s">
        <v>111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72"/>
      <c r="N63" s="150"/>
      <c r="O63" s="150"/>
      <c r="P63" s="150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</row>
    <row r="64" spans="1:16" ht="12">
      <c r="A64" s="245" t="s">
        <v>105</v>
      </c>
      <c r="B64" s="37">
        <v>321</v>
      </c>
      <c r="C64" s="37">
        <v>0</v>
      </c>
      <c r="D64" s="37">
        <v>1117</v>
      </c>
      <c r="E64" s="37">
        <v>3339</v>
      </c>
      <c r="F64" s="37">
        <v>518</v>
      </c>
      <c r="G64" s="37">
        <v>32</v>
      </c>
      <c r="H64" s="37">
        <v>0</v>
      </c>
      <c r="I64" s="37">
        <v>1494</v>
      </c>
      <c r="J64" s="37">
        <v>1204</v>
      </c>
      <c r="K64" s="37">
        <v>0</v>
      </c>
      <c r="L64" s="37">
        <v>0</v>
      </c>
      <c r="M64" s="172">
        <f>SUM(B64:L64)</f>
        <v>8025</v>
      </c>
      <c r="N64" s="181"/>
      <c r="O64" s="181"/>
      <c r="P64" s="181"/>
    </row>
    <row r="65" spans="1:16" ht="12">
      <c r="A65" s="245" t="s">
        <v>115</v>
      </c>
      <c r="B65" s="37">
        <v>190</v>
      </c>
      <c r="C65" s="37">
        <v>0</v>
      </c>
      <c r="D65" s="37">
        <v>348</v>
      </c>
      <c r="E65" s="37">
        <v>999</v>
      </c>
      <c r="F65" s="37">
        <v>213</v>
      </c>
      <c r="G65" s="37">
        <v>0</v>
      </c>
      <c r="H65" s="37">
        <v>0</v>
      </c>
      <c r="I65" s="37">
        <v>322</v>
      </c>
      <c r="J65" s="37">
        <v>129</v>
      </c>
      <c r="K65" s="37">
        <v>0</v>
      </c>
      <c r="L65" s="37">
        <v>0</v>
      </c>
      <c r="M65" s="172">
        <f>SUM(B65:L65)</f>
        <v>2201</v>
      </c>
      <c r="N65" s="181"/>
      <c r="O65" s="181"/>
      <c r="P65" s="181"/>
    </row>
    <row r="66" spans="1:58" ht="12">
      <c r="A66" s="245" t="s">
        <v>107</v>
      </c>
      <c r="B66" s="217">
        <f aca="true" t="shared" si="16" ref="B66:M66">+B64+B65</f>
        <v>511</v>
      </c>
      <c r="C66" s="217">
        <f t="shared" si="16"/>
        <v>0</v>
      </c>
      <c r="D66" s="217">
        <f t="shared" si="16"/>
        <v>1465</v>
      </c>
      <c r="E66" s="217">
        <f t="shared" si="16"/>
        <v>4338</v>
      </c>
      <c r="F66" s="217">
        <f t="shared" si="16"/>
        <v>731</v>
      </c>
      <c r="G66" s="217">
        <f t="shared" si="16"/>
        <v>32</v>
      </c>
      <c r="H66" s="217">
        <f t="shared" si="16"/>
        <v>0</v>
      </c>
      <c r="I66" s="217">
        <f t="shared" si="16"/>
        <v>1816</v>
      </c>
      <c r="J66" s="217">
        <f t="shared" si="16"/>
        <v>1333</v>
      </c>
      <c r="K66" s="217">
        <f t="shared" si="16"/>
        <v>0</v>
      </c>
      <c r="L66" s="217">
        <f t="shared" si="16"/>
        <v>0</v>
      </c>
      <c r="M66" s="217">
        <f t="shared" si="16"/>
        <v>10226</v>
      </c>
      <c r="N66" s="158"/>
      <c r="O66" s="150"/>
      <c r="P66" s="150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  <c r="AM66" s="246"/>
      <c r="AN66" s="246"/>
      <c r="AO66" s="246"/>
      <c r="AP66" s="246"/>
      <c r="AQ66" s="246"/>
      <c r="AR66" s="246"/>
      <c r="AS66" s="246"/>
      <c r="AT66" s="246"/>
      <c r="AU66" s="246"/>
      <c r="AV66" s="246"/>
      <c r="AW66" s="246"/>
      <c r="AX66" s="246"/>
      <c r="AY66" s="246"/>
      <c r="AZ66" s="246"/>
      <c r="BA66" s="246"/>
      <c r="BB66" s="246"/>
      <c r="BC66" s="246"/>
      <c r="BD66" s="246"/>
      <c r="BE66" s="246"/>
      <c r="BF66" s="246"/>
    </row>
    <row r="67" spans="1:58" ht="12">
      <c r="A67" s="244" t="s">
        <v>112</v>
      </c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51"/>
      <c r="N67" s="158"/>
      <c r="O67" s="150"/>
      <c r="P67" s="150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  <c r="AM67" s="246"/>
      <c r="AN67" s="246"/>
      <c r="AO67" s="246"/>
      <c r="AP67" s="246"/>
      <c r="AQ67" s="246"/>
      <c r="AR67" s="246"/>
      <c r="AS67" s="246"/>
      <c r="AT67" s="246"/>
      <c r="AU67" s="246"/>
      <c r="AV67" s="246"/>
      <c r="AW67" s="246"/>
      <c r="AX67" s="246"/>
      <c r="AY67" s="246"/>
      <c r="AZ67" s="246"/>
      <c r="BA67" s="246"/>
      <c r="BB67" s="246"/>
      <c r="BC67" s="246"/>
      <c r="BD67" s="246"/>
      <c r="BE67" s="246"/>
      <c r="BF67" s="246"/>
    </row>
    <row r="68" spans="1:16" ht="12">
      <c r="A68" s="245" t="s">
        <v>105</v>
      </c>
      <c r="B68" s="223">
        <f>+B64+B60+B56+B52</f>
        <v>1308</v>
      </c>
      <c r="C68" s="223">
        <f aca="true" t="shared" si="17" ref="C68:L68">+C64+C60+C56+C52</f>
        <v>3168</v>
      </c>
      <c r="D68" s="223">
        <f t="shared" si="17"/>
        <v>2022</v>
      </c>
      <c r="E68" s="223">
        <f t="shared" si="17"/>
        <v>3894</v>
      </c>
      <c r="F68" s="223">
        <f t="shared" si="17"/>
        <v>2624</v>
      </c>
      <c r="G68" s="223">
        <f t="shared" si="17"/>
        <v>7213</v>
      </c>
      <c r="H68" s="223">
        <f t="shared" si="17"/>
        <v>2411</v>
      </c>
      <c r="I68" s="223">
        <f t="shared" si="17"/>
        <v>3379</v>
      </c>
      <c r="J68" s="223">
        <f t="shared" si="17"/>
        <v>4141</v>
      </c>
      <c r="K68" s="223">
        <f t="shared" si="17"/>
        <v>1965</v>
      </c>
      <c r="L68" s="223">
        <f t="shared" si="17"/>
        <v>3807</v>
      </c>
      <c r="M68" s="223">
        <f>+M64+M60+M56+M52</f>
        <v>35932</v>
      </c>
      <c r="N68" s="187"/>
      <c r="O68" s="187"/>
      <c r="P68" s="187"/>
    </row>
    <row r="69" spans="1:16" ht="12">
      <c r="A69" s="245" t="s">
        <v>115</v>
      </c>
      <c r="B69" s="223">
        <v>116</v>
      </c>
      <c r="C69" s="223"/>
      <c r="D69" s="223">
        <v>332</v>
      </c>
      <c r="E69" s="223"/>
      <c r="F69" s="223">
        <v>96</v>
      </c>
      <c r="G69" s="223"/>
      <c r="H69" s="223"/>
      <c r="I69" s="223">
        <v>311</v>
      </c>
      <c r="J69" s="223"/>
      <c r="K69" s="223"/>
      <c r="L69" s="223"/>
      <c r="M69" s="223">
        <f>+M65+M61+M57+M53</f>
        <v>9598</v>
      </c>
      <c r="N69" s="190"/>
      <c r="O69" s="190"/>
      <c r="P69" s="190"/>
    </row>
    <row r="70" spans="1:16" ht="12">
      <c r="A70" s="255" t="s">
        <v>107</v>
      </c>
      <c r="B70" s="221">
        <f aca="true" t="shared" si="18" ref="B70:L70">+B68+B69</f>
        <v>1424</v>
      </c>
      <c r="C70" s="221">
        <f>+C68+C69</f>
        <v>3168</v>
      </c>
      <c r="D70" s="221">
        <f t="shared" si="18"/>
        <v>2354</v>
      </c>
      <c r="E70" s="221">
        <f t="shared" si="18"/>
        <v>3894</v>
      </c>
      <c r="F70" s="221">
        <f t="shared" si="18"/>
        <v>2720</v>
      </c>
      <c r="G70" s="221">
        <f t="shared" si="18"/>
        <v>7213</v>
      </c>
      <c r="H70" s="221">
        <f t="shared" si="18"/>
        <v>2411</v>
      </c>
      <c r="I70" s="221">
        <f t="shared" si="18"/>
        <v>3690</v>
      </c>
      <c r="J70" s="221">
        <f t="shared" si="18"/>
        <v>4141</v>
      </c>
      <c r="K70" s="221">
        <f t="shared" si="18"/>
        <v>1965</v>
      </c>
      <c r="L70" s="221">
        <f t="shared" si="18"/>
        <v>3807</v>
      </c>
      <c r="M70" s="221">
        <f>+M68+M69</f>
        <v>45530</v>
      </c>
      <c r="N70" s="192"/>
      <c r="O70" s="192"/>
      <c r="P70" s="192"/>
    </row>
    <row r="71" spans="1:16" ht="12">
      <c r="A71" s="73" t="s">
        <v>147</v>
      </c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00"/>
      <c r="O71" s="200"/>
      <c r="P71" s="200"/>
    </row>
    <row r="72" spans="1:16" ht="12">
      <c r="A72" s="256" t="s">
        <v>133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4"/>
      <c r="N72" s="200"/>
      <c r="O72" s="200"/>
      <c r="P72" s="200"/>
    </row>
    <row r="73" spans="1:16" ht="12">
      <c r="A73" s="257" t="s">
        <v>66</v>
      </c>
      <c r="B73" s="258"/>
      <c r="C73" s="223"/>
      <c r="D73" s="258"/>
      <c r="E73" s="223"/>
      <c r="F73" s="258"/>
      <c r="G73" s="258"/>
      <c r="H73" s="258"/>
      <c r="I73" s="258"/>
      <c r="J73" s="258"/>
      <c r="K73" s="223"/>
      <c r="L73" s="258"/>
      <c r="M73" s="224"/>
      <c r="N73" s="200"/>
      <c r="O73" s="200"/>
      <c r="P73" s="200"/>
    </row>
    <row r="74" spans="1:16" ht="12">
      <c r="A74" s="259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00"/>
      <c r="O74" s="200"/>
      <c r="P74" s="200"/>
    </row>
    <row r="75" spans="1:16" ht="12">
      <c r="A75" s="260"/>
      <c r="B75" s="200"/>
      <c r="C75" s="225"/>
      <c r="D75" s="225"/>
      <c r="E75" s="225"/>
      <c r="F75" s="200"/>
      <c r="G75" s="200"/>
      <c r="H75" s="200"/>
      <c r="I75" s="200"/>
      <c r="J75" s="200"/>
      <c r="K75" s="225"/>
      <c r="L75" s="200"/>
      <c r="M75" s="224"/>
      <c r="N75" s="200"/>
      <c r="O75" s="200"/>
      <c r="P75" s="200"/>
    </row>
    <row r="76" spans="1:16" ht="12">
      <c r="A76" s="260"/>
      <c r="B76" s="200"/>
      <c r="C76" s="225"/>
      <c r="D76" s="225"/>
      <c r="E76" s="225"/>
      <c r="F76" s="200"/>
      <c r="G76" s="200"/>
      <c r="H76" s="200"/>
      <c r="I76" s="200"/>
      <c r="J76" s="200"/>
      <c r="K76" s="225"/>
      <c r="L76" s="200"/>
      <c r="M76" s="224"/>
      <c r="N76" s="200"/>
      <c r="O76" s="200"/>
      <c r="P76" s="200"/>
    </row>
    <row r="77" spans="1:16" ht="12">
      <c r="A77" s="260"/>
      <c r="B77" s="200"/>
      <c r="C77" s="225"/>
      <c r="D77" s="225"/>
      <c r="E77" s="225"/>
      <c r="F77" s="200"/>
      <c r="G77" s="200"/>
      <c r="H77" s="200"/>
      <c r="I77" s="200"/>
      <c r="J77" s="200"/>
      <c r="K77" s="225"/>
      <c r="L77" s="200"/>
      <c r="M77" s="224"/>
      <c r="N77" s="203"/>
      <c r="O77" s="203"/>
      <c r="P77" s="203"/>
    </row>
    <row r="78" spans="1:16" ht="12">
      <c r="A78" s="260"/>
      <c r="B78" s="200"/>
      <c r="C78" s="225"/>
      <c r="D78" s="225"/>
      <c r="E78" s="225"/>
      <c r="F78" s="200"/>
      <c r="G78" s="200"/>
      <c r="H78" s="200"/>
      <c r="I78" s="200"/>
      <c r="J78" s="200"/>
      <c r="K78" s="225"/>
      <c r="L78" s="200"/>
      <c r="M78" s="224"/>
      <c r="N78" s="200"/>
      <c r="O78" s="200"/>
      <c r="P78" s="200"/>
    </row>
    <row r="79" spans="1:16" ht="12">
      <c r="A79" s="260"/>
      <c r="B79" s="200"/>
      <c r="C79" s="225"/>
      <c r="D79" s="225"/>
      <c r="E79" s="225"/>
      <c r="F79" s="200"/>
      <c r="G79" s="200"/>
      <c r="H79" s="200"/>
      <c r="I79" s="200"/>
      <c r="J79" s="225"/>
      <c r="K79" s="225"/>
      <c r="L79" s="200"/>
      <c r="M79" s="224"/>
      <c r="N79" s="164"/>
      <c r="O79" s="164"/>
      <c r="P79" s="164"/>
    </row>
    <row r="80" spans="1:16" ht="12">
      <c r="A80" s="260"/>
      <c r="B80" s="200"/>
      <c r="C80" s="225"/>
      <c r="D80" s="200"/>
      <c r="E80" s="225"/>
      <c r="F80" s="200"/>
      <c r="G80" s="200"/>
      <c r="H80" s="200"/>
      <c r="I80" s="200"/>
      <c r="J80" s="200"/>
      <c r="K80" s="225"/>
      <c r="L80" s="200"/>
      <c r="M80" s="224"/>
      <c r="N80" s="203"/>
      <c r="O80" s="203"/>
      <c r="P80" s="203"/>
    </row>
    <row r="81" spans="1:13" ht="12">
      <c r="A81" s="264"/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24"/>
    </row>
    <row r="82" spans="1:13" ht="12">
      <c r="A82" s="264"/>
      <c r="B82" s="264"/>
      <c r="C82" s="264"/>
      <c r="D82" s="264"/>
      <c r="E82" s="264"/>
      <c r="F82" s="264"/>
      <c r="G82" s="264"/>
      <c r="H82" s="264"/>
      <c r="I82" s="264"/>
      <c r="J82" s="264"/>
      <c r="K82" s="264"/>
      <c r="L82" s="264"/>
      <c r="M82" s="224"/>
    </row>
    <row r="83" spans="1:13" ht="12">
      <c r="A83" s="164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</row>
    <row r="84" spans="1:13" ht="12">
      <c r="A84" s="262"/>
      <c r="B84" s="226"/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63"/>
    </row>
  </sheetData>
  <sheetProtection/>
  <mergeCells count="1">
    <mergeCell ref="B3:L3"/>
  </mergeCells>
  <printOptions/>
  <pageMargins left="0.5511811023622047" right="0.2362204724409449" top="0.5511811023622047" bottom="0.1968503937007874" header="0.5118110236220472" footer="0.2362204724409449"/>
  <pageSetup fitToHeight="1" fitToWidth="1" orientation="portrait" paperSize="9" scale="68" r:id="rId1"/>
  <headerFooter alignWithMargins="0">
    <oddHeader>&amp;R&amp;F</oddHeader>
    <oddFooter>&amp;LComune di Bologna - Dipartimento Programmazione - Settore Statistica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84"/>
  <sheetViews>
    <sheetView showZeros="0" zoomScale="85" zoomScaleNormal="85" zoomScalePageLayoutView="0" workbookViewId="0" topLeftCell="A1">
      <pane ySplit="7" topLeftCell="A8" activePane="bottomLeft" state="frozen"/>
      <selection pane="topLeft" activeCell="A1" sqref="A1:IV16384"/>
      <selection pane="bottomLeft" activeCell="M28" sqref="M28"/>
    </sheetView>
  </sheetViews>
  <sheetFormatPr defaultColWidth="10.875" defaultRowHeight="12"/>
  <cols>
    <col min="1" max="1" width="56.625" style="138" customWidth="1"/>
    <col min="2" max="3" width="11.25390625" style="138" customWidth="1"/>
    <col min="4" max="4" width="12.00390625" style="138" customWidth="1"/>
    <col min="5" max="5" width="13.00390625" style="138" customWidth="1"/>
    <col min="6" max="7" width="11.25390625" style="138" customWidth="1"/>
    <col min="8" max="8" width="12.875" style="138" customWidth="1"/>
    <col min="9" max="12" width="11.25390625" style="138" customWidth="1"/>
    <col min="13" max="13" width="8.00390625" style="138" customWidth="1"/>
    <col min="14" max="15" width="9.875" style="138" customWidth="1"/>
    <col min="16" max="16384" width="10.875" style="138" customWidth="1"/>
  </cols>
  <sheetData>
    <row r="1" spans="1:13" s="120" customFormat="1" ht="15" customHeight="1">
      <c r="A1" s="227" t="s">
        <v>134</v>
      </c>
      <c r="B1" s="209"/>
      <c r="C1" s="209"/>
      <c r="D1" s="209"/>
      <c r="E1" s="209"/>
      <c r="F1" s="209"/>
      <c r="G1" s="209"/>
      <c r="H1" s="227"/>
      <c r="I1" s="209"/>
      <c r="J1" s="209"/>
      <c r="K1" s="209"/>
      <c r="L1" s="209"/>
      <c r="M1" s="228"/>
    </row>
    <row r="2" spans="1:13" s="131" customFormat="1" ht="15">
      <c r="A2" s="229" t="s">
        <v>148</v>
      </c>
      <c r="B2" s="211"/>
      <c r="C2" s="211"/>
      <c r="D2" s="230"/>
      <c r="E2" s="211"/>
      <c r="F2" s="231"/>
      <c r="G2" s="230"/>
      <c r="H2" s="232"/>
      <c r="I2" s="211"/>
      <c r="J2" s="233"/>
      <c r="K2" s="234" t="s">
        <v>132</v>
      </c>
      <c r="L2" s="211"/>
      <c r="M2" s="236"/>
    </row>
    <row r="3" spans="1:13" s="135" customFormat="1" ht="12">
      <c r="A3" s="237"/>
      <c r="B3" s="268" t="s">
        <v>136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38" t="s">
        <v>103</v>
      </c>
    </row>
    <row r="4" spans="1:12" ht="48">
      <c r="A4" s="237"/>
      <c r="B4" s="265" t="s">
        <v>137</v>
      </c>
      <c r="C4" s="265" t="s">
        <v>138</v>
      </c>
      <c r="D4" s="265" t="s">
        <v>139</v>
      </c>
      <c r="E4" s="265" t="s">
        <v>140</v>
      </c>
      <c r="F4" s="265" t="s">
        <v>141</v>
      </c>
      <c r="G4" s="265" t="s">
        <v>142</v>
      </c>
      <c r="H4" s="265" t="s">
        <v>143</v>
      </c>
      <c r="I4" s="265" t="s">
        <v>144</v>
      </c>
      <c r="J4" s="265" t="s">
        <v>145</v>
      </c>
      <c r="K4" s="265" t="s">
        <v>6</v>
      </c>
      <c r="L4" s="265" t="s">
        <v>146</v>
      </c>
    </row>
    <row r="5" spans="1:13" ht="12">
      <c r="A5" s="237"/>
      <c r="B5" s="239"/>
      <c r="C5" s="212"/>
      <c r="D5" s="212"/>
      <c r="E5" s="212"/>
      <c r="F5" s="212"/>
      <c r="G5" s="212"/>
      <c r="H5" s="212"/>
      <c r="I5" s="239"/>
      <c r="J5" s="212"/>
      <c r="K5" s="212"/>
      <c r="L5" s="212"/>
      <c r="M5" s="239"/>
    </row>
    <row r="6" spans="1:13" ht="12">
      <c r="A6" s="225"/>
      <c r="B6" s="225"/>
      <c r="C6" s="212"/>
      <c r="D6" s="212"/>
      <c r="E6" s="212"/>
      <c r="F6" s="239"/>
      <c r="G6" s="225"/>
      <c r="H6" s="212"/>
      <c r="I6" s="225"/>
      <c r="J6" s="212"/>
      <c r="K6" s="212"/>
      <c r="L6" s="212"/>
      <c r="M6" s="239"/>
    </row>
    <row r="7" spans="1:13" s="131" customFormat="1" ht="12">
      <c r="A7" s="241"/>
      <c r="B7" s="242"/>
      <c r="C7" s="213"/>
      <c r="D7" s="242"/>
      <c r="E7" s="213"/>
      <c r="F7" s="242"/>
      <c r="G7" s="242"/>
      <c r="H7" s="241"/>
      <c r="I7" s="242"/>
      <c r="J7" s="213"/>
      <c r="K7" s="213"/>
      <c r="L7" s="213"/>
      <c r="M7" s="242"/>
    </row>
    <row r="8" spans="2:15" s="135" customFormat="1" ht="12">
      <c r="B8" s="214"/>
      <c r="C8" s="214"/>
      <c r="E8" s="214"/>
      <c r="F8" s="214" t="s">
        <v>54</v>
      </c>
      <c r="G8" s="214"/>
      <c r="H8" s="214"/>
      <c r="I8" s="214"/>
      <c r="J8" s="218"/>
      <c r="L8" s="214"/>
      <c r="M8" s="214"/>
      <c r="O8" s="139"/>
    </row>
    <row r="9" spans="1:58" s="250" customFormat="1" ht="12">
      <c r="A9" s="244" t="s">
        <v>104</v>
      </c>
      <c r="B9" s="215"/>
      <c r="C9" s="215"/>
      <c r="D9" s="169"/>
      <c r="E9" s="169"/>
      <c r="F9" s="169"/>
      <c r="G9" s="169"/>
      <c r="H9" s="215"/>
      <c r="I9" s="169"/>
      <c r="J9" s="169"/>
      <c r="K9" s="215"/>
      <c r="L9" s="169"/>
      <c r="M9" s="172"/>
      <c r="N9" s="164"/>
      <c r="O9" s="139"/>
      <c r="P9" s="150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</row>
    <row r="10" spans="1:58" ht="13.5" customHeight="1">
      <c r="A10" s="245" t="s">
        <v>105</v>
      </c>
      <c r="B10" s="215">
        <f aca="true" t="shared" si="0" ref="B10:L12">+B31+B52</f>
        <v>0</v>
      </c>
      <c r="C10" s="215">
        <f t="shared" si="0"/>
        <v>0</v>
      </c>
      <c r="D10" s="215">
        <f t="shared" si="0"/>
        <v>3</v>
      </c>
      <c r="E10" s="215">
        <f t="shared" si="0"/>
        <v>0</v>
      </c>
      <c r="F10" s="215">
        <f t="shared" si="0"/>
        <v>0</v>
      </c>
      <c r="G10" s="215">
        <f t="shared" si="0"/>
        <v>0</v>
      </c>
      <c r="H10" s="215">
        <f t="shared" si="0"/>
        <v>0</v>
      </c>
      <c r="I10" s="215">
        <f t="shared" si="0"/>
        <v>0</v>
      </c>
      <c r="J10" s="215">
        <f t="shared" si="0"/>
        <v>2</v>
      </c>
      <c r="K10" s="215">
        <f t="shared" si="0"/>
        <v>0</v>
      </c>
      <c r="L10" s="215">
        <f t="shared" si="0"/>
        <v>0</v>
      </c>
      <c r="M10" s="172">
        <f>SUM(B10:L10)</f>
        <v>5</v>
      </c>
      <c r="N10" s="167"/>
      <c r="O10" s="139"/>
      <c r="P10" s="167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</row>
    <row r="11" spans="1:30" ht="12">
      <c r="A11" s="245" t="s">
        <v>115</v>
      </c>
      <c r="B11" s="215">
        <f t="shared" si="0"/>
        <v>41</v>
      </c>
      <c r="C11" s="215">
        <f t="shared" si="0"/>
        <v>90</v>
      </c>
      <c r="D11" s="215">
        <f t="shared" si="0"/>
        <v>50</v>
      </c>
      <c r="E11" s="215">
        <f t="shared" si="0"/>
        <v>340</v>
      </c>
      <c r="F11" s="215">
        <f t="shared" si="0"/>
        <v>208</v>
      </c>
      <c r="G11" s="215">
        <f t="shared" si="0"/>
        <v>316</v>
      </c>
      <c r="H11" s="215">
        <f t="shared" si="0"/>
        <v>61</v>
      </c>
      <c r="I11" s="215">
        <f t="shared" si="0"/>
        <v>77</v>
      </c>
      <c r="J11" s="215">
        <f t="shared" si="0"/>
        <v>342</v>
      </c>
      <c r="K11" s="215">
        <f t="shared" si="0"/>
        <v>64</v>
      </c>
      <c r="L11" s="215">
        <f t="shared" si="0"/>
        <v>132</v>
      </c>
      <c r="M11" s="172">
        <f>SUM(B11:L11)</f>
        <v>1721</v>
      </c>
      <c r="N11" s="167"/>
      <c r="O11" s="139"/>
      <c r="P11" s="167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</row>
    <row r="12" spans="1:58" ht="12">
      <c r="A12" s="245" t="s">
        <v>107</v>
      </c>
      <c r="B12" s="215">
        <f t="shared" si="0"/>
        <v>41</v>
      </c>
      <c r="C12" s="215">
        <f t="shared" si="0"/>
        <v>90</v>
      </c>
      <c r="D12" s="215">
        <f t="shared" si="0"/>
        <v>53</v>
      </c>
      <c r="E12" s="215">
        <f t="shared" si="0"/>
        <v>340</v>
      </c>
      <c r="F12" s="215">
        <f t="shared" si="0"/>
        <v>208</v>
      </c>
      <c r="G12" s="215">
        <f t="shared" si="0"/>
        <v>316</v>
      </c>
      <c r="H12" s="215">
        <f t="shared" si="0"/>
        <v>61</v>
      </c>
      <c r="I12" s="215">
        <f t="shared" si="0"/>
        <v>77</v>
      </c>
      <c r="J12" s="215">
        <f t="shared" si="0"/>
        <v>344</v>
      </c>
      <c r="K12" s="215">
        <f t="shared" si="0"/>
        <v>64</v>
      </c>
      <c r="L12" s="215">
        <f t="shared" si="0"/>
        <v>132</v>
      </c>
      <c r="M12" s="217">
        <f>+M10+M11</f>
        <v>1726</v>
      </c>
      <c r="N12" s="158"/>
      <c r="O12" s="139"/>
      <c r="P12" s="150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</row>
    <row r="13" spans="1:30" ht="12">
      <c r="A13" s="244" t="s">
        <v>109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72"/>
      <c r="N13" s="171"/>
      <c r="O13" s="139"/>
      <c r="P13" s="171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</row>
    <row r="14" spans="1:30" ht="12">
      <c r="A14" s="245" t="s">
        <v>105</v>
      </c>
      <c r="B14" s="215">
        <f aca="true" t="shared" si="1" ref="B14:L16">+B35+B56</f>
        <v>1967</v>
      </c>
      <c r="C14" s="215">
        <f t="shared" si="1"/>
        <v>4455</v>
      </c>
      <c r="D14" s="215">
        <f t="shared" si="1"/>
        <v>1464</v>
      </c>
      <c r="E14" s="215">
        <f t="shared" si="1"/>
        <v>785</v>
      </c>
      <c r="F14" s="215">
        <f t="shared" si="1"/>
        <v>5020</v>
      </c>
      <c r="G14" s="215">
        <f t="shared" si="1"/>
        <v>7842</v>
      </c>
      <c r="H14" s="215">
        <f t="shared" si="1"/>
        <v>1968</v>
      </c>
      <c r="I14" s="215">
        <f t="shared" si="1"/>
        <v>2519</v>
      </c>
      <c r="J14" s="215">
        <f t="shared" si="1"/>
        <v>2572</v>
      </c>
      <c r="K14" s="215">
        <f t="shared" si="1"/>
        <v>3761</v>
      </c>
      <c r="L14" s="215">
        <f t="shared" si="1"/>
        <v>3804</v>
      </c>
      <c r="M14" s="172">
        <f>SUM(B14:L14)</f>
        <v>36157</v>
      </c>
      <c r="N14" s="150"/>
      <c r="O14" s="139"/>
      <c r="P14" s="150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</row>
    <row r="15" spans="1:30" ht="12">
      <c r="A15" s="245" t="s">
        <v>115</v>
      </c>
      <c r="B15" s="215">
        <f t="shared" si="1"/>
        <v>485</v>
      </c>
      <c r="C15" s="215">
        <f t="shared" si="1"/>
        <v>1219</v>
      </c>
      <c r="D15" s="215">
        <f t="shared" si="1"/>
        <v>338</v>
      </c>
      <c r="E15" s="215">
        <f t="shared" si="1"/>
        <v>385</v>
      </c>
      <c r="F15" s="215">
        <f t="shared" si="1"/>
        <v>2187</v>
      </c>
      <c r="G15" s="215">
        <f t="shared" si="1"/>
        <v>2099</v>
      </c>
      <c r="H15" s="215">
        <f t="shared" si="1"/>
        <v>529</v>
      </c>
      <c r="I15" s="215">
        <f t="shared" si="1"/>
        <v>326</v>
      </c>
      <c r="J15" s="215">
        <f t="shared" si="1"/>
        <v>738</v>
      </c>
      <c r="K15" s="215">
        <f t="shared" si="1"/>
        <v>1136</v>
      </c>
      <c r="L15" s="215">
        <f t="shared" si="1"/>
        <v>671</v>
      </c>
      <c r="M15" s="172">
        <f>SUM(B15:L15)</f>
        <v>10113</v>
      </c>
      <c r="N15" s="164"/>
      <c r="O15" s="161"/>
      <c r="P15" s="164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</row>
    <row r="16" spans="1:58" ht="12">
      <c r="A16" s="245" t="s">
        <v>107</v>
      </c>
      <c r="B16" s="215">
        <f t="shared" si="1"/>
        <v>2452</v>
      </c>
      <c r="C16" s="215">
        <f t="shared" si="1"/>
        <v>5674</v>
      </c>
      <c r="D16" s="215">
        <f t="shared" si="1"/>
        <v>1802</v>
      </c>
      <c r="E16" s="215">
        <f t="shared" si="1"/>
        <v>1170</v>
      </c>
      <c r="F16" s="215">
        <f t="shared" si="1"/>
        <v>7207</v>
      </c>
      <c r="G16" s="215">
        <f t="shared" si="1"/>
        <v>9941</v>
      </c>
      <c r="H16" s="215">
        <f t="shared" si="1"/>
        <v>2497</v>
      </c>
      <c r="I16" s="215">
        <f t="shared" si="1"/>
        <v>2845</v>
      </c>
      <c r="J16" s="215">
        <f t="shared" si="1"/>
        <v>3310</v>
      </c>
      <c r="K16" s="215">
        <f t="shared" si="1"/>
        <v>4897</v>
      </c>
      <c r="L16" s="215">
        <f t="shared" si="1"/>
        <v>4475</v>
      </c>
      <c r="M16" s="217">
        <f>+M14+M15</f>
        <v>46270</v>
      </c>
      <c r="N16" s="158"/>
      <c r="O16" s="150"/>
      <c r="P16" s="150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</row>
    <row r="17" spans="1:30" ht="12">
      <c r="A17" s="244" t="s">
        <v>117</v>
      </c>
      <c r="B17" s="169"/>
      <c r="C17" s="215"/>
      <c r="D17" s="215"/>
      <c r="E17" s="215"/>
      <c r="F17" s="169"/>
      <c r="G17" s="169"/>
      <c r="H17" s="169"/>
      <c r="I17" s="169"/>
      <c r="J17" s="172"/>
      <c r="K17" s="215"/>
      <c r="L17" s="172"/>
      <c r="M17" s="172"/>
      <c r="N17" s="163"/>
      <c r="O17" s="163"/>
      <c r="P17" s="163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</row>
    <row r="18" spans="1:30" ht="12">
      <c r="A18" s="245" t="s">
        <v>105</v>
      </c>
      <c r="B18" s="215">
        <f aca="true" t="shared" si="2" ref="B18:L20">+B39+B60</f>
        <v>523</v>
      </c>
      <c r="C18" s="215">
        <f t="shared" si="2"/>
        <v>2216</v>
      </c>
      <c r="D18" s="215">
        <f t="shared" si="2"/>
        <v>649</v>
      </c>
      <c r="E18" s="215">
        <f t="shared" si="2"/>
        <v>0</v>
      </c>
      <c r="F18" s="215">
        <f t="shared" si="2"/>
        <v>2636</v>
      </c>
      <c r="G18" s="215">
        <f t="shared" si="2"/>
        <v>2809</v>
      </c>
      <c r="H18" s="215">
        <f t="shared" si="2"/>
        <v>875</v>
      </c>
      <c r="I18" s="215">
        <f t="shared" si="2"/>
        <v>162</v>
      </c>
      <c r="J18" s="215">
        <f t="shared" si="2"/>
        <v>1044</v>
      </c>
      <c r="K18" s="215">
        <f t="shared" si="2"/>
        <v>1223</v>
      </c>
      <c r="L18" s="215">
        <f t="shared" si="2"/>
        <v>1817</v>
      </c>
      <c r="M18" s="172">
        <f>SUM(B18:L18)</f>
        <v>13954</v>
      </c>
      <c r="N18" s="177"/>
      <c r="O18" s="177"/>
      <c r="P18" s="177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</row>
    <row r="19" spans="1:30" ht="12">
      <c r="A19" s="245" t="s">
        <v>115</v>
      </c>
      <c r="B19" s="215">
        <f t="shared" si="2"/>
        <v>57</v>
      </c>
      <c r="C19" s="215">
        <f t="shared" si="2"/>
        <v>285</v>
      </c>
      <c r="D19" s="215">
        <f t="shared" si="2"/>
        <v>57</v>
      </c>
      <c r="E19" s="215">
        <f t="shared" si="2"/>
        <v>4</v>
      </c>
      <c r="F19" s="215">
        <f t="shared" si="2"/>
        <v>714</v>
      </c>
      <c r="G19" s="215">
        <f t="shared" si="2"/>
        <v>990</v>
      </c>
      <c r="H19" s="215">
        <f t="shared" si="2"/>
        <v>175</v>
      </c>
      <c r="I19" s="215">
        <f t="shared" si="2"/>
        <v>10</v>
      </c>
      <c r="J19" s="215">
        <f t="shared" si="2"/>
        <v>352</v>
      </c>
      <c r="K19" s="215">
        <f t="shared" si="2"/>
        <v>272</v>
      </c>
      <c r="L19" s="215">
        <f t="shared" si="2"/>
        <v>320</v>
      </c>
      <c r="M19" s="172">
        <f>SUM(B19:L19)</f>
        <v>3236</v>
      </c>
      <c r="N19" s="150"/>
      <c r="O19" s="150"/>
      <c r="P19" s="150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</row>
    <row r="20" spans="1:58" ht="12">
      <c r="A20" s="245" t="s">
        <v>107</v>
      </c>
      <c r="B20" s="215">
        <f t="shared" si="2"/>
        <v>580</v>
      </c>
      <c r="C20" s="215">
        <f t="shared" si="2"/>
        <v>2501</v>
      </c>
      <c r="D20" s="215">
        <f t="shared" si="2"/>
        <v>706</v>
      </c>
      <c r="E20" s="215">
        <f t="shared" si="2"/>
        <v>4</v>
      </c>
      <c r="F20" s="215">
        <f t="shared" si="2"/>
        <v>3350</v>
      </c>
      <c r="G20" s="215">
        <f t="shared" si="2"/>
        <v>3799</v>
      </c>
      <c r="H20" s="215">
        <f t="shared" si="2"/>
        <v>1050</v>
      </c>
      <c r="I20" s="215">
        <f t="shared" si="2"/>
        <v>172</v>
      </c>
      <c r="J20" s="215">
        <f t="shared" si="2"/>
        <v>1396</v>
      </c>
      <c r="K20" s="215">
        <f t="shared" si="2"/>
        <v>1495</v>
      </c>
      <c r="L20" s="215">
        <f t="shared" si="2"/>
        <v>2137</v>
      </c>
      <c r="M20" s="217">
        <f>+M18+M19</f>
        <v>17190</v>
      </c>
      <c r="N20" s="158"/>
      <c r="O20" s="150"/>
      <c r="P20" s="150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</row>
    <row r="21" spans="1:30" ht="12">
      <c r="A21" s="244" t="s">
        <v>111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72"/>
      <c r="N21" s="150"/>
      <c r="O21" s="150"/>
      <c r="P21" s="150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</row>
    <row r="22" spans="1:16" ht="12">
      <c r="A22" s="245" t="s">
        <v>105</v>
      </c>
      <c r="B22" s="215">
        <f aca="true" t="shared" si="3" ref="B22:M23">B43+B64</f>
        <v>487</v>
      </c>
      <c r="C22" s="215">
        <f t="shared" si="3"/>
        <v>0</v>
      </c>
      <c r="D22" s="215">
        <f t="shared" si="3"/>
        <v>1597</v>
      </c>
      <c r="E22" s="215">
        <f t="shared" si="3"/>
        <v>5436</v>
      </c>
      <c r="F22" s="215">
        <f t="shared" si="3"/>
        <v>920</v>
      </c>
      <c r="G22" s="215">
        <f t="shared" si="3"/>
        <v>26</v>
      </c>
      <c r="H22" s="215">
        <f t="shared" si="3"/>
        <v>0</v>
      </c>
      <c r="I22" s="215">
        <f t="shared" si="3"/>
        <v>2843</v>
      </c>
      <c r="J22" s="215">
        <f t="shared" si="3"/>
        <v>1294</v>
      </c>
      <c r="K22" s="215">
        <f t="shared" si="3"/>
        <v>0</v>
      </c>
      <c r="L22" s="215">
        <f t="shared" si="3"/>
        <v>0</v>
      </c>
      <c r="M22" s="215">
        <f t="shared" si="3"/>
        <v>12603</v>
      </c>
      <c r="N22" s="181"/>
      <c r="O22" s="181"/>
      <c r="P22" s="181"/>
    </row>
    <row r="23" spans="1:16" ht="12">
      <c r="A23" s="245" t="s">
        <v>115</v>
      </c>
      <c r="B23" s="215">
        <f t="shared" si="3"/>
        <v>308</v>
      </c>
      <c r="C23" s="215">
        <f t="shared" si="3"/>
        <v>0</v>
      </c>
      <c r="D23" s="215">
        <f t="shared" si="3"/>
        <v>554</v>
      </c>
      <c r="E23" s="215">
        <f t="shared" si="3"/>
        <v>1603</v>
      </c>
      <c r="F23" s="215">
        <f t="shared" si="3"/>
        <v>510</v>
      </c>
      <c r="G23" s="215">
        <f t="shared" si="3"/>
        <v>0</v>
      </c>
      <c r="H23" s="215">
        <f t="shared" si="3"/>
        <v>0</v>
      </c>
      <c r="I23" s="215">
        <f t="shared" si="3"/>
        <v>584</v>
      </c>
      <c r="J23" s="215">
        <f t="shared" si="3"/>
        <v>0</v>
      </c>
      <c r="K23" s="215">
        <f t="shared" si="3"/>
        <v>0</v>
      </c>
      <c r="L23" s="215">
        <f t="shared" si="3"/>
        <v>0</v>
      </c>
      <c r="M23" s="215">
        <f t="shared" si="3"/>
        <v>3559</v>
      </c>
      <c r="N23" s="181"/>
      <c r="O23" s="181"/>
      <c r="P23" s="181"/>
    </row>
    <row r="24" spans="1:58" ht="12">
      <c r="A24" s="245" t="s">
        <v>107</v>
      </c>
      <c r="B24" s="215">
        <f>B22+B23</f>
        <v>795</v>
      </c>
      <c r="C24" s="215">
        <f aca="true" t="shared" si="4" ref="C24:L24">C22+C23</f>
        <v>0</v>
      </c>
      <c r="D24" s="215">
        <f t="shared" si="4"/>
        <v>2151</v>
      </c>
      <c r="E24" s="215">
        <f t="shared" si="4"/>
        <v>7039</v>
      </c>
      <c r="F24" s="215">
        <f t="shared" si="4"/>
        <v>1430</v>
      </c>
      <c r="G24" s="215">
        <f t="shared" si="4"/>
        <v>26</v>
      </c>
      <c r="H24" s="215">
        <f t="shared" si="4"/>
        <v>0</v>
      </c>
      <c r="I24" s="215">
        <f t="shared" si="4"/>
        <v>3427</v>
      </c>
      <c r="J24" s="215">
        <f t="shared" si="4"/>
        <v>1294</v>
      </c>
      <c r="K24" s="215">
        <f t="shared" si="4"/>
        <v>0</v>
      </c>
      <c r="L24" s="215">
        <f t="shared" si="4"/>
        <v>0</v>
      </c>
      <c r="M24" s="217">
        <f>+M22+M23</f>
        <v>16162</v>
      </c>
      <c r="N24" s="158"/>
      <c r="O24" s="150"/>
      <c r="P24" s="150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</row>
    <row r="25" spans="1:13" s="135" customFormat="1" ht="12">
      <c r="A25" s="244" t="s">
        <v>112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51"/>
    </row>
    <row r="26" spans="1:58" s="120" customFormat="1" ht="12">
      <c r="A26" s="245" t="s">
        <v>105</v>
      </c>
      <c r="B26" s="223">
        <f>+B22+B18+B14+B10</f>
        <v>2977</v>
      </c>
      <c r="C26" s="223">
        <f aca="true" t="shared" si="5" ref="C26:M27">+C22+C18+C14+C10</f>
        <v>6671</v>
      </c>
      <c r="D26" s="223">
        <f t="shared" si="5"/>
        <v>3713</v>
      </c>
      <c r="E26" s="223">
        <f t="shared" si="5"/>
        <v>6221</v>
      </c>
      <c r="F26" s="223">
        <f t="shared" si="5"/>
        <v>8576</v>
      </c>
      <c r="G26" s="223">
        <f t="shared" si="5"/>
        <v>10677</v>
      </c>
      <c r="H26" s="223">
        <f t="shared" si="5"/>
        <v>2843</v>
      </c>
      <c r="I26" s="223">
        <f t="shared" si="5"/>
        <v>5524</v>
      </c>
      <c r="J26" s="223">
        <f t="shared" si="5"/>
        <v>4912</v>
      </c>
      <c r="K26" s="223">
        <f t="shared" si="5"/>
        <v>4984</v>
      </c>
      <c r="L26" s="223">
        <f t="shared" si="5"/>
        <v>5621</v>
      </c>
      <c r="M26" s="223">
        <f t="shared" si="5"/>
        <v>62719</v>
      </c>
      <c r="N26" s="150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</row>
    <row r="27" spans="1:58" ht="12">
      <c r="A27" s="245" t="s">
        <v>115</v>
      </c>
      <c r="B27" s="223">
        <f>+B23+B19+B15+B11</f>
        <v>891</v>
      </c>
      <c r="C27" s="223">
        <f t="shared" si="5"/>
        <v>1594</v>
      </c>
      <c r="D27" s="223">
        <f t="shared" si="5"/>
        <v>999</v>
      </c>
      <c r="E27" s="223">
        <f t="shared" si="5"/>
        <v>2332</v>
      </c>
      <c r="F27" s="223">
        <f t="shared" si="5"/>
        <v>3619</v>
      </c>
      <c r="G27" s="223">
        <f t="shared" si="5"/>
        <v>3405</v>
      </c>
      <c r="H27" s="223">
        <f t="shared" si="5"/>
        <v>765</v>
      </c>
      <c r="I27" s="223">
        <f t="shared" si="5"/>
        <v>997</v>
      </c>
      <c r="J27" s="223">
        <f t="shared" si="5"/>
        <v>1432</v>
      </c>
      <c r="K27" s="223">
        <f t="shared" si="5"/>
        <v>1472</v>
      </c>
      <c r="L27" s="223">
        <f t="shared" si="5"/>
        <v>1123</v>
      </c>
      <c r="M27" s="223">
        <f t="shared" si="5"/>
        <v>18629</v>
      </c>
      <c r="N27" s="150"/>
      <c r="O27" s="150"/>
      <c r="P27" s="150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</row>
    <row r="28" spans="1:58" ht="12">
      <c r="A28" s="245" t="s">
        <v>107</v>
      </c>
      <c r="B28" s="217">
        <f aca="true" t="shared" si="6" ref="B28:L28">+B26+B27</f>
        <v>3868</v>
      </c>
      <c r="C28" s="217">
        <f t="shared" si="6"/>
        <v>8265</v>
      </c>
      <c r="D28" s="217">
        <f t="shared" si="6"/>
        <v>4712</v>
      </c>
      <c r="E28" s="217">
        <f t="shared" si="6"/>
        <v>8553</v>
      </c>
      <c r="F28" s="217">
        <f t="shared" si="6"/>
        <v>12195</v>
      </c>
      <c r="G28" s="217">
        <f t="shared" si="6"/>
        <v>14082</v>
      </c>
      <c r="H28" s="217">
        <f t="shared" si="6"/>
        <v>3608</v>
      </c>
      <c r="I28" s="217">
        <f t="shared" si="6"/>
        <v>6521</v>
      </c>
      <c r="J28" s="217">
        <f t="shared" si="6"/>
        <v>6344</v>
      </c>
      <c r="K28" s="217">
        <f t="shared" si="6"/>
        <v>6456</v>
      </c>
      <c r="L28" s="217">
        <f t="shared" si="6"/>
        <v>6744</v>
      </c>
      <c r="M28" s="217">
        <f>+M26+M27</f>
        <v>81348</v>
      </c>
      <c r="N28" s="150"/>
      <c r="O28" s="150"/>
      <c r="P28" s="150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</row>
    <row r="29" spans="1:58" ht="12">
      <c r="A29" s="135"/>
      <c r="B29" s="218"/>
      <c r="C29" s="218"/>
      <c r="D29" s="196"/>
      <c r="E29" s="218"/>
      <c r="F29" s="218" t="s">
        <v>114</v>
      </c>
      <c r="G29" s="218"/>
      <c r="H29" s="218"/>
      <c r="I29" s="218"/>
      <c r="J29" s="218"/>
      <c r="K29" s="196"/>
      <c r="L29" s="218"/>
      <c r="M29" s="218"/>
      <c r="N29" s="158"/>
      <c r="O29" s="150"/>
      <c r="P29" s="150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6"/>
      <c r="AU29" s="246"/>
      <c r="AV29" s="246"/>
      <c r="AW29" s="246"/>
      <c r="AX29" s="246"/>
      <c r="AY29" s="246"/>
      <c r="AZ29" s="246"/>
      <c r="BA29" s="246"/>
      <c r="BB29" s="246"/>
      <c r="BC29" s="246"/>
      <c r="BD29" s="246"/>
      <c r="BE29" s="246"/>
      <c r="BF29" s="246"/>
    </row>
    <row r="30" spans="1:58" s="250" customFormat="1" ht="12">
      <c r="A30" s="244" t="s">
        <v>104</v>
      </c>
      <c r="B30" s="215"/>
      <c r="C30" s="215"/>
      <c r="D30" s="169"/>
      <c r="E30" s="169"/>
      <c r="F30" s="169"/>
      <c r="G30" s="169"/>
      <c r="H30" s="215"/>
      <c r="I30" s="169"/>
      <c r="J30" s="169"/>
      <c r="K30" s="215"/>
      <c r="L30" s="169"/>
      <c r="M30" s="172"/>
      <c r="N30" s="164"/>
      <c r="O30" s="150"/>
      <c r="P30" s="150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249"/>
      <c r="AZ30" s="249"/>
      <c r="BA30" s="249"/>
      <c r="BB30" s="249"/>
      <c r="BC30" s="249"/>
      <c r="BD30" s="249"/>
      <c r="BE30" s="249"/>
      <c r="BF30" s="249"/>
    </row>
    <row r="31" spans="1:58" ht="13.5" customHeight="1">
      <c r="A31" s="245" t="s">
        <v>105</v>
      </c>
      <c r="B31" s="37">
        <v>0</v>
      </c>
      <c r="C31" s="37">
        <v>0</v>
      </c>
      <c r="D31" s="37">
        <v>1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172">
        <f>SUM(B31:L31)</f>
        <v>1</v>
      </c>
      <c r="N31" s="167"/>
      <c r="O31" s="167"/>
      <c r="P31" s="167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</row>
    <row r="32" spans="1:30" ht="12">
      <c r="A32" s="245" t="s">
        <v>115</v>
      </c>
      <c r="B32" s="37">
        <v>22</v>
      </c>
      <c r="C32" s="37">
        <v>47</v>
      </c>
      <c r="D32" s="37">
        <v>12</v>
      </c>
      <c r="E32" s="37">
        <v>133</v>
      </c>
      <c r="F32" s="37">
        <v>167</v>
      </c>
      <c r="G32" s="37">
        <v>120</v>
      </c>
      <c r="H32" s="37">
        <v>1</v>
      </c>
      <c r="I32" s="37">
        <v>44</v>
      </c>
      <c r="J32" s="37">
        <v>25</v>
      </c>
      <c r="K32" s="37">
        <v>29</v>
      </c>
      <c r="L32" s="37">
        <v>53</v>
      </c>
      <c r="M32" s="172">
        <f>SUM(B32:L32)</f>
        <v>653</v>
      </c>
      <c r="N32" s="167"/>
      <c r="O32" s="167"/>
      <c r="P32" s="167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</row>
    <row r="33" spans="1:58" ht="12">
      <c r="A33" s="245" t="s">
        <v>107</v>
      </c>
      <c r="B33" s="217">
        <f aca="true" t="shared" si="7" ref="B33:M33">+B31+B32</f>
        <v>22</v>
      </c>
      <c r="C33" s="217">
        <f t="shared" si="7"/>
        <v>47</v>
      </c>
      <c r="D33" s="217">
        <f t="shared" si="7"/>
        <v>13</v>
      </c>
      <c r="E33" s="217">
        <f t="shared" si="7"/>
        <v>133</v>
      </c>
      <c r="F33" s="217">
        <f t="shared" si="7"/>
        <v>167</v>
      </c>
      <c r="G33" s="217">
        <f t="shared" si="7"/>
        <v>120</v>
      </c>
      <c r="H33" s="217">
        <f t="shared" si="7"/>
        <v>1</v>
      </c>
      <c r="I33" s="217">
        <f t="shared" si="7"/>
        <v>44</v>
      </c>
      <c r="J33" s="217">
        <f t="shared" si="7"/>
        <v>25</v>
      </c>
      <c r="K33" s="217">
        <f t="shared" si="7"/>
        <v>29</v>
      </c>
      <c r="L33" s="217">
        <f t="shared" si="7"/>
        <v>53</v>
      </c>
      <c r="M33" s="217">
        <f t="shared" si="7"/>
        <v>654</v>
      </c>
      <c r="N33" s="158"/>
      <c r="O33" s="150"/>
      <c r="P33" s="150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</row>
    <row r="34" spans="1:30" ht="12">
      <c r="A34" s="244" t="s">
        <v>109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72"/>
      <c r="N34" s="171"/>
      <c r="O34" s="171"/>
      <c r="P34" s="171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</row>
    <row r="35" spans="1:30" ht="12">
      <c r="A35" s="245" t="s">
        <v>105</v>
      </c>
      <c r="B35" s="223">
        <v>1184</v>
      </c>
      <c r="C35" s="223">
        <v>2420</v>
      </c>
      <c r="D35" s="37">
        <v>888</v>
      </c>
      <c r="E35" s="37">
        <v>304</v>
      </c>
      <c r="F35" s="223">
        <v>3725</v>
      </c>
      <c r="G35" s="223">
        <v>2807</v>
      </c>
      <c r="H35" s="37">
        <v>386</v>
      </c>
      <c r="I35" s="37">
        <v>663</v>
      </c>
      <c r="J35" s="37">
        <v>443</v>
      </c>
      <c r="K35" s="223">
        <v>2445</v>
      </c>
      <c r="L35" s="223">
        <v>1426</v>
      </c>
      <c r="M35" s="172">
        <f>SUM(B35:L35)</f>
        <v>16691</v>
      </c>
      <c r="N35" s="150"/>
      <c r="O35" s="150"/>
      <c r="P35" s="150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</row>
    <row r="36" spans="1:30" ht="12">
      <c r="A36" s="245" t="s">
        <v>115</v>
      </c>
      <c r="B36" s="37">
        <v>305</v>
      </c>
      <c r="C36" s="37">
        <v>672</v>
      </c>
      <c r="D36" s="37">
        <v>187</v>
      </c>
      <c r="E36" s="37">
        <v>143</v>
      </c>
      <c r="F36" s="37">
        <v>1634</v>
      </c>
      <c r="G36" s="37">
        <v>855</v>
      </c>
      <c r="H36" s="37">
        <v>118</v>
      </c>
      <c r="I36" s="37">
        <v>149</v>
      </c>
      <c r="J36" s="37">
        <v>123</v>
      </c>
      <c r="K36" s="37">
        <v>736</v>
      </c>
      <c r="L36" s="37">
        <v>297</v>
      </c>
      <c r="M36" s="172">
        <f>SUM(B36:L36)</f>
        <v>5219</v>
      </c>
      <c r="N36" s="164"/>
      <c r="O36" s="164"/>
      <c r="P36" s="164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</row>
    <row r="37" spans="1:58" ht="12">
      <c r="A37" s="245" t="s">
        <v>107</v>
      </c>
      <c r="B37" s="217">
        <f aca="true" t="shared" si="8" ref="B37:M37">+B35+B36</f>
        <v>1489</v>
      </c>
      <c r="C37" s="217">
        <f t="shared" si="8"/>
        <v>3092</v>
      </c>
      <c r="D37" s="217">
        <f t="shared" si="8"/>
        <v>1075</v>
      </c>
      <c r="E37" s="217">
        <f t="shared" si="8"/>
        <v>447</v>
      </c>
      <c r="F37" s="217">
        <f t="shared" si="8"/>
        <v>5359</v>
      </c>
      <c r="G37" s="217">
        <f t="shared" si="8"/>
        <v>3662</v>
      </c>
      <c r="H37" s="217">
        <f t="shared" si="8"/>
        <v>504</v>
      </c>
      <c r="I37" s="217">
        <f t="shared" si="8"/>
        <v>812</v>
      </c>
      <c r="J37" s="217">
        <f t="shared" si="8"/>
        <v>566</v>
      </c>
      <c r="K37" s="217">
        <f t="shared" si="8"/>
        <v>3181</v>
      </c>
      <c r="L37" s="217">
        <f t="shared" si="8"/>
        <v>1723</v>
      </c>
      <c r="M37" s="217">
        <f t="shared" si="8"/>
        <v>21910</v>
      </c>
      <c r="N37" s="158"/>
      <c r="O37" s="150"/>
      <c r="P37" s="150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  <c r="BC37" s="246"/>
      <c r="BD37" s="246"/>
      <c r="BE37" s="246"/>
      <c r="BF37" s="246"/>
    </row>
    <row r="38" spans="1:58" ht="12">
      <c r="A38" s="244" t="s">
        <v>117</v>
      </c>
      <c r="B38" s="169"/>
      <c r="C38" s="215"/>
      <c r="D38" s="215"/>
      <c r="E38" s="215"/>
      <c r="F38" s="169"/>
      <c r="G38" s="169"/>
      <c r="H38" s="169"/>
      <c r="I38" s="169"/>
      <c r="J38" s="172"/>
      <c r="K38" s="215"/>
      <c r="L38" s="172"/>
      <c r="M38" s="172"/>
      <c r="N38" s="158"/>
      <c r="O38" s="150"/>
      <c r="P38" s="150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246"/>
      <c r="BA38" s="246"/>
      <c r="BB38" s="246"/>
      <c r="BC38" s="246"/>
      <c r="BD38" s="246"/>
      <c r="BE38" s="246"/>
      <c r="BF38" s="246"/>
    </row>
    <row r="39" spans="1:58" ht="12">
      <c r="A39" s="245" t="s">
        <v>105</v>
      </c>
      <c r="B39" s="37">
        <v>296</v>
      </c>
      <c r="C39" s="37">
        <v>1122</v>
      </c>
      <c r="D39" s="37">
        <v>311</v>
      </c>
      <c r="E39" s="37"/>
      <c r="F39" s="223">
        <v>1928</v>
      </c>
      <c r="G39" s="37">
        <v>1029</v>
      </c>
      <c r="H39" s="37">
        <v>138</v>
      </c>
      <c r="I39" s="37">
        <v>29</v>
      </c>
      <c r="J39" s="37">
        <v>177</v>
      </c>
      <c r="K39" s="37">
        <v>677</v>
      </c>
      <c r="L39" s="37">
        <v>609</v>
      </c>
      <c r="M39" s="172">
        <f>SUM(B39:L39)</f>
        <v>6316</v>
      </c>
      <c r="N39" s="158"/>
      <c r="O39" s="150"/>
      <c r="P39" s="150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  <c r="BA39" s="246"/>
      <c r="BB39" s="246"/>
      <c r="BC39" s="246"/>
      <c r="BD39" s="246"/>
      <c r="BE39" s="246"/>
      <c r="BF39" s="246"/>
    </row>
    <row r="40" spans="1:58" ht="12">
      <c r="A40" s="245" t="s">
        <v>115</v>
      </c>
      <c r="B40" s="37">
        <v>39</v>
      </c>
      <c r="C40" s="37">
        <v>158</v>
      </c>
      <c r="D40" s="37">
        <v>29</v>
      </c>
      <c r="E40" s="37">
        <v>2</v>
      </c>
      <c r="F40" s="37">
        <v>566</v>
      </c>
      <c r="G40" s="37">
        <v>374</v>
      </c>
      <c r="H40" s="37">
        <v>27</v>
      </c>
      <c r="I40" s="37">
        <v>4</v>
      </c>
      <c r="J40" s="37">
        <v>52</v>
      </c>
      <c r="K40" s="37">
        <v>169</v>
      </c>
      <c r="L40" s="37">
        <v>112</v>
      </c>
      <c r="M40" s="172">
        <f>SUM(B40:L40)</f>
        <v>1532</v>
      </c>
      <c r="N40" s="158"/>
      <c r="O40" s="150"/>
      <c r="P40" s="150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</row>
    <row r="41" spans="1:58" ht="12">
      <c r="A41" s="245" t="s">
        <v>107</v>
      </c>
      <c r="B41" s="217">
        <f aca="true" t="shared" si="9" ref="B41:M41">+B39+B40</f>
        <v>335</v>
      </c>
      <c r="C41" s="217">
        <f t="shared" si="9"/>
        <v>1280</v>
      </c>
      <c r="D41" s="217">
        <f t="shared" si="9"/>
        <v>340</v>
      </c>
      <c r="E41" s="217">
        <f t="shared" si="9"/>
        <v>2</v>
      </c>
      <c r="F41" s="217">
        <f t="shared" si="9"/>
        <v>2494</v>
      </c>
      <c r="G41" s="217">
        <f t="shared" si="9"/>
        <v>1403</v>
      </c>
      <c r="H41" s="217">
        <f t="shared" si="9"/>
        <v>165</v>
      </c>
      <c r="I41" s="217">
        <f t="shared" si="9"/>
        <v>33</v>
      </c>
      <c r="J41" s="217">
        <f t="shared" si="9"/>
        <v>229</v>
      </c>
      <c r="K41" s="217">
        <f t="shared" si="9"/>
        <v>846</v>
      </c>
      <c r="L41" s="217">
        <f t="shared" si="9"/>
        <v>721</v>
      </c>
      <c r="M41" s="217">
        <f t="shared" si="9"/>
        <v>7848</v>
      </c>
      <c r="N41" s="158"/>
      <c r="O41" s="150"/>
      <c r="P41" s="150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</row>
    <row r="42" spans="1:30" ht="12">
      <c r="A42" s="244" t="s">
        <v>111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72"/>
      <c r="N42" s="150"/>
      <c r="O42" s="150"/>
      <c r="P42" s="150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</row>
    <row r="43" spans="1:16" ht="12">
      <c r="A43" s="245" t="s">
        <v>105</v>
      </c>
      <c r="B43" s="37">
        <v>132</v>
      </c>
      <c r="C43" s="37"/>
      <c r="D43" s="37">
        <v>408</v>
      </c>
      <c r="E43" s="37">
        <v>1990</v>
      </c>
      <c r="F43" s="37">
        <v>408</v>
      </c>
      <c r="G43" s="37">
        <v>4</v>
      </c>
      <c r="H43" s="37"/>
      <c r="I43" s="37">
        <v>1315</v>
      </c>
      <c r="J43" s="37">
        <v>82</v>
      </c>
      <c r="K43" s="37"/>
      <c r="L43" s="37"/>
      <c r="M43" s="172">
        <f>SUM(B43:L43)</f>
        <v>4339</v>
      </c>
      <c r="N43" s="181"/>
      <c r="O43" s="181"/>
      <c r="P43" s="181"/>
    </row>
    <row r="44" spans="1:16" ht="12">
      <c r="A44" s="245" t="s">
        <v>115</v>
      </c>
      <c r="B44" s="37">
        <v>101</v>
      </c>
      <c r="C44" s="37">
        <v>0</v>
      </c>
      <c r="D44" s="37">
        <v>157</v>
      </c>
      <c r="E44" s="37">
        <v>617</v>
      </c>
      <c r="F44" s="37">
        <v>249</v>
      </c>
      <c r="G44" s="37">
        <v>0</v>
      </c>
      <c r="H44" s="37">
        <v>0</v>
      </c>
      <c r="I44" s="37">
        <v>273</v>
      </c>
      <c r="J44" s="37">
        <v>0</v>
      </c>
      <c r="K44" s="37">
        <v>0</v>
      </c>
      <c r="L44" s="37">
        <v>0</v>
      </c>
      <c r="M44" s="172">
        <f>SUM(B44:L44)</f>
        <v>1397</v>
      </c>
      <c r="N44" s="181"/>
      <c r="O44" s="181"/>
      <c r="P44" s="181"/>
    </row>
    <row r="45" spans="1:72" ht="12">
      <c r="A45" s="245" t="s">
        <v>107</v>
      </c>
      <c r="B45" s="217">
        <f aca="true" t="shared" si="10" ref="B45:M45">+B43+B44</f>
        <v>233</v>
      </c>
      <c r="C45" s="217">
        <f t="shared" si="10"/>
        <v>0</v>
      </c>
      <c r="D45" s="217">
        <f t="shared" si="10"/>
        <v>565</v>
      </c>
      <c r="E45" s="217">
        <f t="shared" si="10"/>
        <v>2607</v>
      </c>
      <c r="F45" s="217">
        <f t="shared" si="10"/>
        <v>657</v>
      </c>
      <c r="G45" s="217">
        <f t="shared" si="10"/>
        <v>4</v>
      </c>
      <c r="H45" s="217">
        <f t="shared" si="10"/>
        <v>0</v>
      </c>
      <c r="I45" s="217">
        <f t="shared" si="10"/>
        <v>1588</v>
      </c>
      <c r="J45" s="217">
        <f t="shared" si="10"/>
        <v>82</v>
      </c>
      <c r="K45" s="217">
        <f t="shared" si="10"/>
        <v>0</v>
      </c>
      <c r="L45" s="217">
        <f t="shared" si="10"/>
        <v>0</v>
      </c>
      <c r="M45" s="217">
        <f t="shared" si="10"/>
        <v>5736</v>
      </c>
      <c r="N45" s="158"/>
      <c r="O45" s="150"/>
      <c r="P45" s="150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6"/>
      <c r="BP45" s="246"/>
      <c r="BQ45" s="246"/>
      <c r="BR45" s="246"/>
      <c r="BS45" s="246"/>
      <c r="BT45" s="246"/>
    </row>
    <row r="46" spans="1:13" s="135" customFormat="1" ht="12">
      <c r="A46" s="244" t="s">
        <v>112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51"/>
    </row>
    <row r="47" spans="1:13" s="135" customFormat="1" ht="12">
      <c r="A47" s="245" t="s">
        <v>105</v>
      </c>
      <c r="B47" s="223">
        <f>+B43+B39+B35+B31</f>
        <v>1612</v>
      </c>
      <c r="C47" s="223">
        <f aca="true" t="shared" si="11" ref="C47:M48">+C43+C39+C35+C31</f>
        <v>3542</v>
      </c>
      <c r="D47" s="223">
        <f t="shared" si="11"/>
        <v>1608</v>
      </c>
      <c r="E47" s="223">
        <f t="shared" si="11"/>
        <v>2294</v>
      </c>
      <c r="F47" s="223">
        <f t="shared" si="11"/>
        <v>6061</v>
      </c>
      <c r="G47" s="223">
        <f t="shared" si="11"/>
        <v>3840</v>
      </c>
      <c r="H47" s="223">
        <f t="shared" si="11"/>
        <v>524</v>
      </c>
      <c r="I47" s="223">
        <f t="shared" si="11"/>
        <v>2007</v>
      </c>
      <c r="J47" s="223">
        <f t="shared" si="11"/>
        <v>702</v>
      </c>
      <c r="K47" s="223">
        <f t="shared" si="11"/>
        <v>3122</v>
      </c>
      <c r="L47" s="223">
        <f t="shared" si="11"/>
        <v>2035</v>
      </c>
      <c r="M47" s="223">
        <f t="shared" si="11"/>
        <v>27347</v>
      </c>
    </row>
    <row r="48" spans="1:13" s="135" customFormat="1" ht="12">
      <c r="A48" s="245" t="s">
        <v>115</v>
      </c>
      <c r="B48" s="223">
        <f>+B44+B40+B36+B32</f>
        <v>467</v>
      </c>
      <c r="C48" s="223">
        <f t="shared" si="11"/>
        <v>877</v>
      </c>
      <c r="D48" s="223">
        <f t="shared" si="11"/>
        <v>385</v>
      </c>
      <c r="E48" s="223">
        <f t="shared" si="11"/>
        <v>895</v>
      </c>
      <c r="F48" s="223">
        <f t="shared" si="11"/>
        <v>2616</v>
      </c>
      <c r="G48" s="223">
        <f t="shared" si="11"/>
        <v>1349</v>
      </c>
      <c r="H48" s="223">
        <f t="shared" si="11"/>
        <v>146</v>
      </c>
      <c r="I48" s="223">
        <f t="shared" si="11"/>
        <v>470</v>
      </c>
      <c r="J48" s="223">
        <f t="shared" si="11"/>
        <v>200</v>
      </c>
      <c r="K48" s="223">
        <f t="shared" si="11"/>
        <v>934</v>
      </c>
      <c r="L48" s="223">
        <f t="shared" si="11"/>
        <v>462</v>
      </c>
      <c r="M48" s="223">
        <f t="shared" si="11"/>
        <v>8801</v>
      </c>
    </row>
    <row r="49" spans="1:13" s="135" customFormat="1" ht="12">
      <c r="A49" s="245" t="s">
        <v>107</v>
      </c>
      <c r="B49" s="217">
        <f aca="true" t="shared" si="12" ref="B49:M49">+B47+B48</f>
        <v>2079</v>
      </c>
      <c r="C49" s="217">
        <f>+C47+C48</f>
        <v>4419</v>
      </c>
      <c r="D49" s="217">
        <f t="shared" si="12"/>
        <v>1993</v>
      </c>
      <c r="E49" s="217">
        <f t="shared" si="12"/>
        <v>3189</v>
      </c>
      <c r="F49" s="217">
        <f t="shared" si="12"/>
        <v>8677</v>
      </c>
      <c r="G49" s="217">
        <f t="shared" si="12"/>
        <v>5189</v>
      </c>
      <c r="H49" s="217">
        <f t="shared" si="12"/>
        <v>670</v>
      </c>
      <c r="I49" s="217">
        <f t="shared" si="12"/>
        <v>2477</v>
      </c>
      <c r="J49" s="217">
        <f t="shared" si="12"/>
        <v>902</v>
      </c>
      <c r="K49" s="217">
        <f t="shared" si="12"/>
        <v>4056</v>
      </c>
      <c r="L49" s="217">
        <f t="shared" si="12"/>
        <v>2497</v>
      </c>
      <c r="M49" s="217">
        <f t="shared" si="12"/>
        <v>36148</v>
      </c>
    </row>
    <row r="50" spans="2:13" s="135" customFormat="1" ht="12">
      <c r="B50" s="218"/>
      <c r="C50" s="218"/>
      <c r="D50" s="196"/>
      <c r="E50" s="218"/>
      <c r="F50" s="218" t="s">
        <v>65</v>
      </c>
      <c r="G50" s="218"/>
      <c r="H50" s="218"/>
      <c r="I50" s="218"/>
      <c r="J50" s="218"/>
      <c r="K50" s="196"/>
      <c r="L50" s="218"/>
      <c r="M50" s="218"/>
    </row>
    <row r="51" spans="1:58" s="250" customFormat="1" ht="12">
      <c r="A51" s="244" t="s">
        <v>104</v>
      </c>
      <c r="B51" s="215"/>
      <c r="C51" s="215"/>
      <c r="D51" s="169"/>
      <c r="E51" s="169"/>
      <c r="F51" s="169"/>
      <c r="G51" s="169"/>
      <c r="H51" s="215"/>
      <c r="I51" s="169"/>
      <c r="J51" s="169"/>
      <c r="K51" s="215"/>
      <c r="L51" s="169"/>
      <c r="M51" s="172"/>
      <c r="N51" s="164"/>
      <c r="O51" s="150"/>
      <c r="P51" s="150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49"/>
      <c r="AU51" s="249"/>
      <c r="AV51" s="249"/>
      <c r="AW51" s="249"/>
      <c r="AX51" s="249"/>
      <c r="AY51" s="249"/>
      <c r="AZ51" s="249"/>
      <c r="BA51" s="249"/>
      <c r="BB51" s="249"/>
      <c r="BC51" s="249"/>
      <c r="BD51" s="249"/>
      <c r="BE51" s="249"/>
      <c r="BF51" s="249"/>
    </row>
    <row r="52" spans="1:58" ht="13.5" customHeight="1">
      <c r="A52" s="245" t="s">
        <v>105</v>
      </c>
      <c r="B52" s="37">
        <v>0</v>
      </c>
      <c r="C52" s="37">
        <v>0</v>
      </c>
      <c r="D52" s="37">
        <v>2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2</v>
      </c>
      <c r="K52" s="37">
        <v>0</v>
      </c>
      <c r="L52" s="37">
        <v>0</v>
      </c>
      <c r="M52" s="172">
        <f>SUM(B52:L52)</f>
        <v>4</v>
      </c>
      <c r="N52" s="167"/>
      <c r="O52" s="167"/>
      <c r="P52" s="167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246"/>
      <c r="BC52" s="246"/>
      <c r="BD52" s="246"/>
      <c r="BE52" s="246"/>
      <c r="BF52" s="246"/>
    </row>
    <row r="53" spans="1:30" ht="12">
      <c r="A53" s="245" t="s">
        <v>115</v>
      </c>
      <c r="B53" s="37">
        <v>19</v>
      </c>
      <c r="C53" s="37">
        <v>43</v>
      </c>
      <c r="D53" s="37">
        <v>38</v>
      </c>
      <c r="E53" s="37">
        <v>207</v>
      </c>
      <c r="F53" s="37">
        <v>41</v>
      </c>
      <c r="G53" s="37">
        <v>196</v>
      </c>
      <c r="H53" s="37">
        <v>60</v>
      </c>
      <c r="I53" s="37">
        <v>33</v>
      </c>
      <c r="J53" s="37">
        <v>317</v>
      </c>
      <c r="K53" s="37">
        <v>35</v>
      </c>
      <c r="L53" s="37">
        <v>79</v>
      </c>
      <c r="M53" s="172">
        <f>SUM(B53:L53)</f>
        <v>1068</v>
      </c>
      <c r="N53" s="167"/>
      <c r="O53" s="167"/>
      <c r="P53" s="167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</row>
    <row r="54" spans="1:58" ht="12">
      <c r="A54" s="245" t="s">
        <v>107</v>
      </c>
      <c r="B54" s="217">
        <f aca="true" t="shared" si="13" ref="B54:M54">+B52+B53</f>
        <v>19</v>
      </c>
      <c r="C54" s="217">
        <f t="shared" si="13"/>
        <v>43</v>
      </c>
      <c r="D54" s="217">
        <f t="shared" si="13"/>
        <v>40</v>
      </c>
      <c r="E54" s="217">
        <f t="shared" si="13"/>
        <v>207</v>
      </c>
      <c r="F54" s="217">
        <f t="shared" si="13"/>
        <v>41</v>
      </c>
      <c r="G54" s="217">
        <f t="shared" si="13"/>
        <v>196</v>
      </c>
      <c r="H54" s="217">
        <f t="shared" si="13"/>
        <v>60</v>
      </c>
      <c r="I54" s="217">
        <f t="shared" si="13"/>
        <v>33</v>
      </c>
      <c r="J54" s="217">
        <f t="shared" si="13"/>
        <v>319</v>
      </c>
      <c r="K54" s="217">
        <f t="shared" si="13"/>
        <v>35</v>
      </c>
      <c r="L54" s="217">
        <f t="shared" si="13"/>
        <v>79</v>
      </c>
      <c r="M54" s="217">
        <f t="shared" si="13"/>
        <v>1072</v>
      </c>
      <c r="N54" s="158"/>
      <c r="O54" s="150"/>
      <c r="P54" s="150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</row>
    <row r="55" spans="1:30" ht="12">
      <c r="A55" s="244" t="s">
        <v>109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72"/>
      <c r="N55" s="171"/>
      <c r="O55" s="171"/>
      <c r="P55" s="171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</row>
    <row r="56" spans="1:30" ht="12">
      <c r="A56" s="245" t="s">
        <v>105</v>
      </c>
      <c r="B56" s="37">
        <v>783</v>
      </c>
      <c r="C56" s="37">
        <v>2035</v>
      </c>
      <c r="D56" s="37">
        <v>576</v>
      </c>
      <c r="E56" s="37">
        <v>481</v>
      </c>
      <c r="F56" s="37">
        <v>1295</v>
      </c>
      <c r="G56" s="37">
        <v>5035</v>
      </c>
      <c r="H56" s="37">
        <v>1582</v>
      </c>
      <c r="I56" s="37">
        <v>1856</v>
      </c>
      <c r="J56" s="37">
        <v>2129</v>
      </c>
      <c r="K56" s="37">
        <v>1316</v>
      </c>
      <c r="L56" s="37">
        <v>2378</v>
      </c>
      <c r="M56" s="172">
        <f>SUM(B56:L56)</f>
        <v>19466</v>
      </c>
      <c r="N56" s="150"/>
      <c r="O56" s="150"/>
      <c r="P56" s="150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</row>
    <row r="57" spans="1:30" ht="12">
      <c r="A57" s="245" t="s">
        <v>115</v>
      </c>
      <c r="B57" s="37">
        <v>180</v>
      </c>
      <c r="C57" s="37">
        <v>547</v>
      </c>
      <c r="D57" s="37">
        <v>151</v>
      </c>
      <c r="E57" s="37">
        <v>242</v>
      </c>
      <c r="F57" s="37">
        <v>553</v>
      </c>
      <c r="G57" s="37">
        <v>1244</v>
      </c>
      <c r="H57" s="37">
        <v>411</v>
      </c>
      <c r="I57" s="37">
        <v>177</v>
      </c>
      <c r="J57" s="37">
        <v>615</v>
      </c>
      <c r="K57" s="37">
        <v>400</v>
      </c>
      <c r="L57" s="37">
        <v>374</v>
      </c>
      <c r="M57" s="172">
        <f>SUM(B57:L57)</f>
        <v>4894</v>
      </c>
      <c r="N57" s="164"/>
      <c r="O57" s="164"/>
      <c r="P57" s="164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</row>
    <row r="58" spans="1:58" ht="12">
      <c r="A58" s="245" t="s">
        <v>107</v>
      </c>
      <c r="B58" s="217">
        <f aca="true" t="shared" si="14" ref="B58:M58">+B56+B57</f>
        <v>963</v>
      </c>
      <c r="C58" s="217">
        <f t="shared" si="14"/>
        <v>2582</v>
      </c>
      <c r="D58" s="217">
        <f t="shared" si="14"/>
        <v>727</v>
      </c>
      <c r="E58" s="217">
        <f t="shared" si="14"/>
        <v>723</v>
      </c>
      <c r="F58" s="217">
        <f t="shared" si="14"/>
        <v>1848</v>
      </c>
      <c r="G58" s="217">
        <f t="shared" si="14"/>
        <v>6279</v>
      </c>
      <c r="H58" s="217">
        <f>+H56+H57</f>
        <v>1993</v>
      </c>
      <c r="I58" s="217">
        <f t="shared" si="14"/>
        <v>2033</v>
      </c>
      <c r="J58" s="217">
        <f t="shared" si="14"/>
        <v>2744</v>
      </c>
      <c r="K58" s="217">
        <f t="shared" si="14"/>
        <v>1716</v>
      </c>
      <c r="L58" s="217">
        <f t="shared" si="14"/>
        <v>2752</v>
      </c>
      <c r="M58" s="217">
        <f t="shared" si="14"/>
        <v>24360</v>
      </c>
      <c r="N58" s="158"/>
      <c r="O58" s="150"/>
      <c r="P58" s="150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6"/>
      <c r="BF58" s="246"/>
    </row>
    <row r="59" spans="1:30" ht="12">
      <c r="A59" s="244" t="s">
        <v>117</v>
      </c>
      <c r="B59" s="169"/>
      <c r="C59" s="215"/>
      <c r="D59" s="215"/>
      <c r="E59" s="215"/>
      <c r="F59" s="169"/>
      <c r="G59" s="169"/>
      <c r="H59" s="169"/>
      <c r="I59" s="169"/>
      <c r="J59" s="172"/>
      <c r="K59" s="215"/>
      <c r="L59" s="172"/>
      <c r="M59" s="172"/>
      <c r="N59" s="163"/>
      <c r="O59" s="163"/>
      <c r="P59" s="163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</row>
    <row r="60" spans="1:30" ht="12">
      <c r="A60" s="245" t="s">
        <v>105</v>
      </c>
      <c r="B60" s="37">
        <v>227</v>
      </c>
      <c r="C60" s="37">
        <v>1094</v>
      </c>
      <c r="D60" s="37">
        <v>338</v>
      </c>
      <c r="E60" s="37">
        <v>0</v>
      </c>
      <c r="F60" s="37">
        <v>708</v>
      </c>
      <c r="G60" s="37">
        <v>1780</v>
      </c>
      <c r="H60" s="37">
        <v>737</v>
      </c>
      <c r="I60" s="37">
        <v>133</v>
      </c>
      <c r="J60" s="37">
        <v>867</v>
      </c>
      <c r="K60" s="37">
        <v>546</v>
      </c>
      <c r="L60" s="37">
        <v>1208</v>
      </c>
      <c r="M60" s="172">
        <f>SUM(B60:L60)</f>
        <v>7638</v>
      </c>
      <c r="N60" s="177"/>
      <c r="O60" s="177"/>
      <c r="P60" s="177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</row>
    <row r="61" spans="1:30" ht="12">
      <c r="A61" s="245" t="s">
        <v>115</v>
      </c>
      <c r="B61" s="37">
        <v>18</v>
      </c>
      <c r="C61" s="37">
        <v>127</v>
      </c>
      <c r="D61" s="37">
        <v>28</v>
      </c>
      <c r="E61" s="37">
        <v>2</v>
      </c>
      <c r="F61" s="37">
        <v>148</v>
      </c>
      <c r="G61" s="37">
        <v>616</v>
      </c>
      <c r="H61" s="37">
        <v>148</v>
      </c>
      <c r="I61" s="37">
        <v>6</v>
      </c>
      <c r="J61" s="37">
        <v>300</v>
      </c>
      <c r="K61" s="37">
        <v>103</v>
      </c>
      <c r="L61" s="37">
        <v>208</v>
      </c>
      <c r="M61" s="172">
        <f>SUM(B61:L61)</f>
        <v>1704</v>
      </c>
      <c r="N61" s="150"/>
      <c r="O61" s="150"/>
      <c r="P61" s="150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</row>
    <row r="62" spans="1:58" ht="12">
      <c r="A62" s="245" t="s">
        <v>107</v>
      </c>
      <c r="B62" s="217">
        <f aca="true" t="shared" si="15" ref="B62:H62">+B60+B61</f>
        <v>245</v>
      </c>
      <c r="C62" s="217">
        <f t="shared" si="15"/>
        <v>1221</v>
      </c>
      <c r="D62" s="217">
        <f t="shared" si="15"/>
        <v>366</v>
      </c>
      <c r="E62" s="217">
        <f t="shared" si="15"/>
        <v>2</v>
      </c>
      <c r="F62" s="217">
        <f t="shared" si="15"/>
        <v>856</v>
      </c>
      <c r="G62" s="217">
        <f t="shared" si="15"/>
        <v>2396</v>
      </c>
      <c r="H62" s="217">
        <f t="shared" si="15"/>
        <v>885</v>
      </c>
      <c r="I62" s="217">
        <f>+I60+I61</f>
        <v>139</v>
      </c>
      <c r="J62" s="217">
        <f>+J60+J61</f>
        <v>1167</v>
      </c>
      <c r="K62" s="217">
        <f>+K60+K61</f>
        <v>649</v>
      </c>
      <c r="L62" s="217">
        <f>+L60+L61</f>
        <v>1416</v>
      </c>
      <c r="M62" s="217">
        <f>+M60+M61</f>
        <v>9342</v>
      </c>
      <c r="N62" s="158"/>
      <c r="O62" s="150"/>
      <c r="P62" s="150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  <c r="AM62" s="246"/>
      <c r="AN62" s="246"/>
      <c r="AO62" s="246"/>
      <c r="AP62" s="246"/>
      <c r="AQ62" s="246"/>
      <c r="AR62" s="246"/>
      <c r="AS62" s="246"/>
      <c r="AT62" s="246"/>
      <c r="AU62" s="246"/>
      <c r="AV62" s="246"/>
      <c r="AW62" s="246"/>
      <c r="AX62" s="246"/>
      <c r="AY62" s="246"/>
      <c r="AZ62" s="246"/>
      <c r="BA62" s="246"/>
      <c r="BB62" s="246"/>
      <c r="BC62" s="246"/>
      <c r="BD62" s="246"/>
      <c r="BE62" s="246"/>
      <c r="BF62" s="246"/>
    </row>
    <row r="63" spans="1:30" ht="12">
      <c r="A63" s="244" t="s">
        <v>111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72"/>
      <c r="N63" s="150"/>
      <c r="O63" s="150"/>
      <c r="P63" s="150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</row>
    <row r="64" spans="1:16" ht="12">
      <c r="A64" s="245" t="s">
        <v>105</v>
      </c>
      <c r="B64" s="37">
        <v>355</v>
      </c>
      <c r="C64" s="37">
        <v>0</v>
      </c>
      <c r="D64" s="37">
        <v>1189</v>
      </c>
      <c r="E64" s="37">
        <v>3446</v>
      </c>
      <c r="F64" s="37">
        <v>512</v>
      </c>
      <c r="G64" s="37">
        <v>22</v>
      </c>
      <c r="H64" s="37">
        <v>0</v>
      </c>
      <c r="I64" s="37">
        <v>1528</v>
      </c>
      <c r="J64" s="37">
        <v>1212</v>
      </c>
      <c r="K64" s="37">
        <v>0</v>
      </c>
      <c r="L64" s="37">
        <v>0</v>
      </c>
      <c r="M64" s="172">
        <f>SUM(B64:L64)</f>
        <v>8264</v>
      </c>
      <c r="N64" s="181"/>
      <c r="O64" s="181"/>
      <c r="P64" s="181"/>
    </row>
    <row r="65" spans="1:16" ht="12">
      <c r="A65" s="245" t="s">
        <v>115</v>
      </c>
      <c r="B65" s="37">
        <v>207</v>
      </c>
      <c r="C65" s="37">
        <v>0</v>
      </c>
      <c r="D65" s="37">
        <v>397</v>
      </c>
      <c r="E65" s="37">
        <v>986</v>
      </c>
      <c r="F65" s="37">
        <v>261</v>
      </c>
      <c r="G65" s="37">
        <v>0</v>
      </c>
      <c r="H65" s="37">
        <v>0</v>
      </c>
      <c r="I65" s="37">
        <v>311</v>
      </c>
      <c r="J65" s="37">
        <v>0</v>
      </c>
      <c r="K65" s="37">
        <v>0</v>
      </c>
      <c r="L65" s="37">
        <v>0</v>
      </c>
      <c r="M65" s="172">
        <f>SUM(B65:L65)</f>
        <v>2162</v>
      </c>
      <c r="N65" s="181"/>
      <c r="O65" s="181"/>
      <c r="P65" s="181"/>
    </row>
    <row r="66" spans="1:58" ht="12">
      <c r="A66" s="245" t="s">
        <v>107</v>
      </c>
      <c r="B66" s="217">
        <f aca="true" t="shared" si="16" ref="B66:M66">+B64+B65</f>
        <v>562</v>
      </c>
      <c r="C66" s="217">
        <f t="shared" si="16"/>
        <v>0</v>
      </c>
      <c r="D66" s="217">
        <f t="shared" si="16"/>
        <v>1586</v>
      </c>
      <c r="E66" s="217">
        <f t="shared" si="16"/>
        <v>4432</v>
      </c>
      <c r="F66" s="217">
        <f t="shared" si="16"/>
        <v>773</v>
      </c>
      <c r="G66" s="217">
        <f t="shared" si="16"/>
        <v>22</v>
      </c>
      <c r="H66" s="217">
        <f t="shared" si="16"/>
        <v>0</v>
      </c>
      <c r="I66" s="217">
        <f t="shared" si="16"/>
        <v>1839</v>
      </c>
      <c r="J66" s="217">
        <f t="shared" si="16"/>
        <v>1212</v>
      </c>
      <c r="K66" s="217">
        <f t="shared" si="16"/>
        <v>0</v>
      </c>
      <c r="L66" s="217">
        <f t="shared" si="16"/>
        <v>0</v>
      </c>
      <c r="M66" s="217">
        <f t="shared" si="16"/>
        <v>10426</v>
      </c>
      <c r="N66" s="158"/>
      <c r="O66" s="150"/>
      <c r="P66" s="150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  <c r="AM66" s="246"/>
      <c r="AN66" s="246"/>
      <c r="AO66" s="246"/>
      <c r="AP66" s="246"/>
      <c r="AQ66" s="246"/>
      <c r="AR66" s="246"/>
      <c r="AS66" s="246"/>
      <c r="AT66" s="246"/>
      <c r="AU66" s="246"/>
      <c r="AV66" s="246"/>
      <c r="AW66" s="246"/>
      <c r="AX66" s="246"/>
      <c r="AY66" s="246"/>
      <c r="AZ66" s="246"/>
      <c r="BA66" s="246"/>
      <c r="BB66" s="246"/>
      <c r="BC66" s="246"/>
      <c r="BD66" s="246"/>
      <c r="BE66" s="246"/>
      <c r="BF66" s="246"/>
    </row>
    <row r="67" spans="1:58" ht="12">
      <c r="A67" s="244" t="s">
        <v>112</v>
      </c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51"/>
      <c r="N67" s="158"/>
      <c r="O67" s="150"/>
      <c r="P67" s="150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  <c r="AM67" s="246"/>
      <c r="AN67" s="246"/>
      <c r="AO67" s="246"/>
      <c r="AP67" s="246"/>
      <c r="AQ67" s="246"/>
      <c r="AR67" s="246"/>
      <c r="AS67" s="246"/>
      <c r="AT67" s="246"/>
      <c r="AU67" s="246"/>
      <c r="AV67" s="246"/>
      <c r="AW67" s="246"/>
      <c r="AX67" s="246"/>
      <c r="AY67" s="246"/>
      <c r="AZ67" s="246"/>
      <c r="BA67" s="246"/>
      <c r="BB67" s="246"/>
      <c r="BC67" s="246"/>
      <c r="BD67" s="246"/>
      <c r="BE67" s="246"/>
      <c r="BF67" s="246"/>
    </row>
    <row r="68" spans="1:16" ht="12">
      <c r="A68" s="245" t="s">
        <v>105</v>
      </c>
      <c r="B68" s="223">
        <f>+B64+B60+B56+B52</f>
        <v>1365</v>
      </c>
      <c r="C68" s="223">
        <f aca="true" t="shared" si="17" ref="C68:L68">+C64+C60+C56+C52</f>
        <v>3129</v>
      </c>
      <c r="D68" s="223">
        <f t="shared" si="17"/>
        <v>2105</v>
      </c>
      <c r="E68" s="223">
        <f t="shared" si="17"/>
        <v>3927</v>
      </c>
      <c r="F68" s="223">
        <f t="shared" si="17"/>
        <v>2515</v>
      </c>
      <c r="G68" s="223">
        <f t="shared" si="17"/>
        <v>6837</v>
      </c>
      <c r="H68" s="223">
        <f t="shared" si="17"/>
        <v>2319</v>
      </c>
      <c r="I68" s="223">
        <f t="shared" si="17"/>
        <v>3517</v>
      </c>
      <c r="J68" s="223">
        <f t="shared" si="17"/>
        <v>4210</v>
      </c>
      <c r="K68" s="223">
        <f t="shared" si="17"/>
        <v>1862</v>
      </c>
      <c r="L68" s="223">
        <f t="shared" si="17"/>
        <v>3586</v>
      </c>
      <c r="M68" s="223">
        <f>+M64+M60+M56+M52</f>
        <v>35372</v>
      </c>
      <c r="N68" s="187"/>
      <c r="O68" s="187"/>
      <c r="P68" s="187"/>
    </row>
    <row r="69" spans="1:16" ht="12">
      <c r="A69" s="245" t="s">
        <v>115</v>
      </c>
      <c r="B69" s="223">
        <v>116</v>
      </c>
      <c r="C69" s="223"/>
      <c r="D69" s="223">
        <v>332</v>
      </c>
      <c r="E69" s="223"/>
      <c r="F69" s="223">
        <v>96</v>
      </c>
      <c r="G69" s="223"/>
      <c r="H69" s="223"/>
      <c r="I69" s="223">
        <v>311</v>
      </c>
      <c r="J69" s="223"/>
      <c r="K69" s="223"/>
      <c r="L69" s="223"/>
      <c r="M69" s="223">
        <f>+M65+M61+M57+M53</f>
        <v>9828</v>
      </c>
      <c r="N69" s="190"/>
      <c r="O69" s="190"/>
      <c r="P69" s="190"/>
    </row>
    <row r="70" spans="1:16" ht="12">
      <c r="A70" s="255" t="s">
        <v>107</v>
      </c>
      <c r="B70" s="221">
        <f aca="true" t="shared" si="18" ref="B70:L70">+B68+B69</f>
        <v>1481</v>
      </c>
      <c r="C70" s="221">
        <f>+C68+C69</f>
        <v>3129</v>
      </c>
      <c r="D70" s="221">
        <f t="shared" si="18"/>
        <v>2437</v>
      </c>
      <c r="E70" s="221">
        <f t="shared" si="18"/>
        <v>3927</v>
      </c>
      <c r="F70" s="221">
        <f t="shared" si="18"/>
        <v>2611</v>
      </c>
      <c r="G70" s="221">
        <f t="shared" si="18"/>
        <v>6837</v>
      </c>
      <c r="H70" s="221">
        <f t="shared" si="18"/>
        <v>2319</v>
      </c>
      <c r="I70" s="221">
        <f t="shared" si="18"/>
        <v>3828</v>
      </c>
      <c r="J70" s="221">
        <f t="shared" si="18"/>
        <v>4210</v>
      </c>
      <c r="K70" s="221">
        <f t="shared" si="18"/>
        <v>1862</v>
      </c>
      <c r="L70" s="221">
        <f t="shared" si="18"/>
        <v>3586</v>
      </c>
      <c r="M70" s="221">
        <f>+M68+M69</f>
        <v>45200</v>
      </c>
      <c r="N70" s="192"/>
      <c r="O70" s="192"/>
      <c r="P70" s="192"/>
    </row>
    <row r="71" spans="1:16" ht="12">
      <c r="A71" s="73" t="s">
        <v>147</v>
      </c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00"/>
      <c r="O71" s="200"/>
      <c r="P71" s="200"/>
    </row>
    <row r="72" spans="1:16" ht="12">
      <c r="A72" s="256" t="s">
        <v>133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4"/>
      <c r="N72" s="200"/>
      <c r="O72" s="200"/>
      <c r="P72" s="200"/>
    </row>
    <row r="73" spans="1:16" ht="12">
      <c r="A73" s="257" t="s">
        <v>66</v>
      </c>
      <c r="B73" s="258"/>
      <c r="C73" s="223"/>
      <c r="D73" s="258"/>
      <c r="E73" s="223"/>
      <c r="F73" s="258"/>
      <c r="G73" s="258"/>
      <c r="H73" s="258"/>
      <c r="I73" s="258"/>
      <c r="J73" s="258"/>
      <c r="K73" s="223"/>
      <c r="L73" s="258"/>
      <c r="M73" s="224"/>
      <c r="N73" s="200"/>
      <c r="O73" s="200"/>
      <c r="P73" s="200"/>
    </row>
    <row r="74" spans="1:16" ht="12">
      <c r="A74" s="259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00"/>
      <c r="O74" s="200"/>
      <c r="P74" s="200"/>
    </row>
    <row r="75" spans="1:16" ht="12">
      <c r="A75" s="260"/>
      <c r="B75" s="200"/>
      <c r="C75" s="225"/>
      <c r="D75" s="225"/>
      <c r="E75" s="225"/>
      <c r="F75" s="200"/>
      <c r="G75" s="200"/>
      <c r="H75" s="200"/>
      <c r="I75" s="200"/>
      <c r="J75" s="200"/>
      <c r="K75" s="225"/>
      <c r="L75" s="200"/>
      <c r="M75" s="224"/>
      <c r="N75" s="200"/>
      <c r="O75" s="200"/>
      <c r="P75" s="200"/>
    </row>
    <row r="76" spans="1:16" ht="12">
      <c r="A76" s="260"/>
      <c r="B76" s="200"/>
      <c r="C76" s="225"/>
      <c r="D76" s="225"/>
      <c r="E76" s="225"/>
      <c r="F76" s="200"/>
      <c r="G76" s="200"/>
      <c r="H76" s="200"/>
      <c r="I76" s="200"/>
      <c r="J76" s="200"/>
      <c r="K76" s="225"/>
      <c r="L76" s="200"/>
      <c r="M76" s="224"/>
      <c r="N76" s="200"/>
      <c r="O76" s="200"/>
      <c r="P76" s="200"/>
    </row>
    <row r="77" spans="1:16" ht="12">
      <c r="A77" s="260"/>
      <c r="B77" s="200"/>
      <c r="C77" s="225"/>
      <c r="D77" s="225"/>
      <c r="E77" s="225"/>
      <c r="F77" s="200"/>
      <c r="G77" s="200"/>
      <c r="H77" s="200"/>
      <c r="I77" s="200"/>
      <c r="J77" s="200"/>
      <c r="K77" s="225"/>
      <c r="L77" s="200"/>
      <c r="M77" s="224"/>
      <c r="N77" s="203"/>
      <c r="O77" s="203"/>
      <c r="P77" s="203"/>
    </row>
    <row r="78" spans="1:16" ht="12">
      <c r="A78" s="260"/>
      <c r="B78" s="200"/>
      <c r="C78" s="225"/>
      <c r="D78" s="225"/>
      <c r="E78" s="225"/>
      <c r="F78" s="200"/>
      <c r="G78" s="200"/>
      <c r="H78" s="200"/>
      <c r="I78" s="200"/>
      <c r="J78" s="200"/>
      <c r="K78" s="225"/>
      <c r="L78" s="200"/>
      <c r="M78" s="224"/>
      <c r="N78" s="200"/>
      <c r="O78" s="200"/>
      <c r="P78" s="200"/>
    </row>
    <row r="79" spans="1:16" ht="12">
      <c r="A79" s="260"/>
      <c r="B79" s="200"/>
      <c r="C79" s="225"/>
      <c r="D79" s="225"/>
      <c r="E79" s="225"/>
      <c r="F79" s="200"/>
      <c r="G79" s="200"/>
      <c r="H79" s="200"/>
      <c r="I79" s="200"/>
      <c r="J79" s="225"/>
      <c r="K79" s="225"/>
      <c r="L79" s="200"/>
      <c r="M79" s="224"/>
      <c r="N79" s="164"/>
      <c r="O79" s="164"/>
      <c r="P79" s="164"/>
    </row>
    <row r="80" spans="1:16" ht="12">
      <c r="A80" s="260"/>
      <c r="B80" s="200"/>
      <c r="C80" s="225"/>
      <c r="D80" s="200"/>
      <c r="E80" s="225"/>
      <c r="F80" s="200"/>
      <c r="G80" s="200"/>
      <c r="H80" s="200"/>
      <c r="I80" s="200"/>
      <c r="J80" s="200"/>
      <c r="K80" s="225"/>
      <c r="L80" s="200"/>
      <c r="M80" s="224"/>
      <c r="N80" s="203"/>
      <c r="O80" s="203"/>
      <c r="P80" s="203"/>
    </row>
    <row r="81" spans="1:13" ht="12">
      <c r="A81" s="264"/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24"/>
    </row>
    <row r="82" spans="1:13" ht="12">
      <c r="A82" s="264"/>
      <c r="B82" s="264"/>
      <c r="C82" s="264"/>
      <c r="D82" s="264"/>
      <c r="E82" s="264"/>
      <c r="F82" s="264"/>
      <c r="G82" s="264"/>
      <c r="H82" s="264"/>
      <c r="I82" s="264"/>
      <c r="J82" s="264"/>
      <c r="K82" s="264"/>
      <c r="L82" s="264"/>
      <c r="M82" s="224"/>
    </row>
    <row r="83" spans="1:13" ht="12">
      <c r="A83" s="164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</row>
    <row r="84" spans="1:13" ht="12">
      <c r="A84" s="262"/>
      <c r="B84" s="226"/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63"/>
    </row>
  </sheetData>
  <sheetProtection/>
  <mergeCells count="1">
    <mergeCell ref="B3:L3"/>
  </mergeCells>
  <printOptions/>
  <pageMargins left="0.5511811023622047" right="0.2362204724409449" top="0.5511811023622047" bottom="0.1968503937007874" header="0.5118110236220472" footer="0.2362204724409449"/>
  <pageSetup fitToHeight="1" fitToWidth="1" orientation="portrait" paperSize="9" scale="68" r:id="rId1"/>
  <headerFooter alignWithMargins="0">
    <oddHeader>&amp;R&amp;F</oddHeader>
    <oddFooter>&amp;LComune di Bologna - Dipartimento Programmazione - Settore Statistica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84"/>
  <sheetViews>
    <sheetView showZeros="0" zoomScale="85" zoomScaleNormal="85" zoomScalePageLayoutView="0" workbookViewId="0" topLeftCell="A1">
      <pane ySplit="7" topLeftCell="A8" activePane="bottomLeft" state="frozen"/>
      <selection pane="topLeft" activeCell="A1" sqref="A1:IV16384"/>
      <selection pane="bottomLeft" activeCell="C13" sqref="C13"/>
    </sheetView>
  </sheetViews>
  <sheetFormatPr defaultColWidth="10.875" defaultRowHeight="12"/>
  <cols>
    <col min="1" max="1" width="30.875" style="138" customWidth="1"/>
    <col min="2" max="3" width="11.25390625" style="138" customWidth="1"/>
    <col min="4" max="4" width="12.00390625" style="138" customWidth="1"/>
    <col min="5" max="5" width="13.00390625" style="138" customWidth="1"/>
    <col min="6" max="7" width="11.25390625" style="138" customWidth="1"/>
    <col min="8" max="8" width="12.875" style="138" customWidth="1"/>
    <col min="9" max="12" width="11.25390625" style="138" customWidth="1"/>
    <col min="13" max="13" width="8.00390625" style="138" customWidth="1"/>
    <col min="14" max="15" width="9.875" style="138" customWidth="1"/>
    <col min="16" max="16384" width="10.875" style="138" customWidth="1"/>
  </cols>
  <sheetData>
    <row r="1" spans="1:13" s="120" customFormat="1" ht="15" customHeight="1">
      <c r="A1" s="227" t="s">
        <v>134</v>
      </c>
      <c r="B1" s="209"/>
      <c r="C1" s="209"/>
      <c r="D1" s="209"/>
      <c r="E1" s="209"/>
      <c r="F1" s="209"/>
      <c r="G1" s="209"/>
      <c r="H1" s="227"/>
      <c r="I1" s="209"/>
      <c r="J1" s="209"/>
      <c r="K1" s="209"/>
      <c r="L1" s="209"/>
      <c r="M1" s="228"/>
    </row>
    <row r="2" spans="1:13" s="131" customFormat="1" ht="15">
      <c r="A2" s="229" t="s">
        <v>135</v>
      </c>
      <c r="B2" s="211"/>
      <c r="C2" s="211"/>
      <c r="D2" s="230"/>
      <c r="E2" s="211"/>
      <c r="F2" s="231"/>
      <c r="G2" s="230"/>
      <c r="H2" s="232"/>
      <c r="I2" s="211"/>
      <c r="J2" s="233"/>
      <c r="K2" s="234" t="s">
        <v>132</v>
      </c>
      <c r="L2" s="211"/>
      <c r="M2" s="236"/>
    </row>
    <row r="3" spans="1:13" s="135" customFormat="1" ht="12">
      <c r="A3" s="237"/>
      <c r="B3" s="268" t="s">
        <v>136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38" t="s">
        <v>103</v>
      </c>
    </row>
    <row r="4" spans="1:12" ht="48">
      <c r="A4" s="237"/>
      <c r="B4" s="265" t="s">
        <v>137</v>
      </c>
      <c r="C4" s="265" t="s">
        <v>138</v>
      </c>
      <c r="D4" s="265" t="s">
        <v>139</v>
      </c>
      <c r="E4" s="265" t="s">
        <v>140</v>
      </c>
      <c r="F4" s="265" t="s">
        <v>141</v>
      </c>
      <c r="G4" s="265" t="s">
        <v>142</v>
      </c>
      <c r="H4" s="265" t="s">
        <v>143</v>
      </c>
      <c r="I4" s="265" t="s">
        <v>144</v>
      </c>
      <c r="J4" s="265" t="s">
        <v>145</v>
      </c>
      <c r="K4" s="265" t="s">
        <v>6</v>
      </c>
      <c r="L4" s="265" t="s">
        <v>146</v>
      </c>
    </row>
    <row r="5" spans="1:13" ht="12">
      <c r="A5" s="237"/>
      <c r="B5" s="239"/>
      <c r="C5" s="212"/>
      <c r="D5" s="212"/>
      <c r="E5" s="212"/>
      <c r="F5" s="212"/>
      <c r="G5" s="212"/>
      <c r="H5" s="212"/>
      <c r="I5" s="239"/>
      <c r="J5" s="212"/>
      <c r="K5" s="212"/>
      <c r="L5" s="212"/>
      <c r="M5" s="239"/>
    </row>
    <row r="6" spans="1:13" ht="12">
      <c r="A6" s="225"/>
      <c r="B6" s="225"/>
      <c r="C6" s="212"/>
      <c r="D6" s="212"/>
      <c r="E6" s="212"/>
      <c r="F6" s="239"/>
      <c r="G6" s="225"/>
      <c r="H6" s="212"/>
      <c r="I6" s="225"/>
      <c r="J6" s="212"/>
      <c r="K6" s="212"/>
      <c r="L6" s="212"/>
      <c r="M6" s="239"/>
    </row>
    <row r="7" spans="1:13" s="131" customFormat="1" ht="12">
      <c r="A7" s="241"/>
      <c r="B7" s="242"/>
      <c r="C7" s="213"/>
      <c r="D7" s="242"/>
      <c r="E7" s="213"/>
      <c r="F7" s="242"/>
      <c r="G7" s="242"/>
      <c r="H7" s="241"/>
      <c r="I7" s="242"/>
      <c r="J7" s="213"/>
      <c r="K7" s="213"/>
      <c r="L7" s="213"/>
      <c r="M7" s="242"/>
    </row>
    <row r="8" spans="2:15" s="135" customFormat="1" ht="12">
      <c r="B8" s="214"/>
      <c r="C8" s="214"/>
      <c r="E8" s="214"/>
      <c r="F8" s="214" t="s">
        <v>54</v>
      </c>
      <c r="G8" s="214"/>
      <c r="H8" s="214"/>
      <c r="I8" s="214"/>
      <c r="J8" s="218"/>
      <c r="L8" s="214"/>
      <c r="M8" s="214"/>
      <c r="O8" s="139"/>
    </row>
    <row r="9" spans="1:58" s="120" customFormat="1" ht="12">
      <c r="A9" s="244" t="s">
        <v>104</v>
      </c>
      <c r="B9" s="215"/>
      <c r="C9" s="215"/>
      <c r="D9" s="169"/>
      <c r="E9" s="169"/>
      <c r="F9" s="169"/>
      <c r="G9" s="169"/>
      <c r="H9" s="215"/>
      <c r="I9" s="169"/>
      <c r="J9" s="169"/>
      <c r="K9" s="215"/>
      <c r="L9" s="169"/>
      <c r="M9" s="172"/>
      <c r="N9" s="150"/>
      <c r="O9" s="139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</row>
    <row r="10" spans="1:58" ht="12">
      <c r="A10" s="245" t="s">
        <v>105</v>
      </c>
      <c r="B10" s="215">
        <f aca="true" t="shared" si="0" ref="B10:L12">+B31+B52</f>
        <v>2</v>
      </c>
      <c r="C10" s="215">
        <f t="shared" si="0"/>
        <v>1</v>
      </c>
      <c r="D10" s="215">
        <f t="shared" si="0"/>
        <v>0</v>
      </c>
      <c r="E10" s="215">
        <f t="shared" si="0"/>
        <v>2</v>
      </c>
      <c r="F10" s="215">
        <f t="shared" si="0"/>
        <v>0</v>
      </c>
      <c r="G10" s="215">
        <f t="shared" si="0"/>
        <v>0</v>
      </c>
      <c r="H10" s="215">
        <f t="shared" si="0"/>
        <v>219</v>
      </c>
      <c r="I10" s="215">
        <f t="shared" si="0"/>
        <v>2</v>
      </c>
      <c r="J10" s="215">
        <f t="shared" si="0"/>
        <v>4</v>
      </c>
      <c r="K10" s="215">
        <f t="shared" si="0"/>
        <v>0</v>
      </c>
      <c r="L10" s="215">
        <f t="shared" si="0"/>
        <v>0</v>
      </c>
      <c r="M10" s="172">
        <f>SUM(B10:L10)</f>
        <v>230</v>
      </c>
      <c r="N10" s="150"/>
      <c r="O10" s="139"/>
      <c r="P10" s="150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</row>
    <row r="11" spans="1:58" ht="12">
      <c r="A11" s="245" t="s">
        <v>115</v>
      </c>
      <c r="B11" s="215">
        <f t="shared" si="0"/>
        <v>55</v>
      </c>
      <c r="C11" s="215">
        <f t="shared" si="0"/>
        <v>131</v>
      </c>
      <c r="D11" s="215">
        <f t="shared" si="0"/>
        <v>91</v>
      </c>
      <c r="E11" s="215">
        <f t="shared" si="0"/>
        <v>500</v>
      </c>
      <c r="F11" s="215">
        <f t="shared" si="0"/>
        <v>287</v>
      </c>
      <c r="G11" s="215">
        <f t="shared" si="0"/>
        <v>503</v>
      </c>
      <c r="H11" s="215">
        <f t="shared" si="0"/>
        <v>101</v>
      </c>
      <c r="I11" s="215">
        <f t="shared" si="0"/>
        <v>87</v>
      </c>
      <c r="J11" s="215">
        <f t="shared" si="0"/>
        <v>580</v>
      </c>
      <c r="K11" s="215">
        <f t="shared" si="0"/>
        <v>106</v>
      </c>
      <c r="L11" s="215">
        <f t="shared" si="0"/>
        <v>199</v>
      </c>
      <c r="M11" s="172">
        <f>SUM(B11:L11)</f>
        <v>2640</v>
      </c>
      <c r="N11" s="150"/>
      <c r="O11" s="139"/>
      <c r="P11" s="150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</row>
    <row r="12" spans="1:58" ht="12">
      <c r="A12" s="245" t="s">
        <v>107</v>
      </c>
      <c r="B12" s="215">
        <f t="shared" si="0"/>
        <v>57</v>
      </c>
      <c r="C12" s="215">
        <f t="shared" si="0"/>
        <v>132</v>
      </c>
      <c r="D12" s="215">
        <f t="shared" si="0"/>
        <v>91</v>
      </c>
      <c r="E12" s="215">
        <f t="shared" si="0"/>
        <v>502</v>
      </c>
      <c r="F12" s="215">
        <f t="shared" si="0"/>
        <v>287</v>
      </c>
      <c r="G12" s="215">
        <f t="shared" si="0"/>
        <v>503</v>
      </c>
      <c r="H12" s="215">
        <f t="shared" si="0"/>
        <v>320</v>
      </c>
      <c r="I12" s="215">
        <f t="shared" si="0"/>
        <v>89</v>
      </c>
      <c r="J12" s="215">
        <f t="shared" si="0"/>
        <v>584</v>
      </c>
      <c r="K12" s="215">
        <f t="shared" si="0"/>
        <v>106</v>
      </c>
      <c r="L12" s="215">
        <f t="shared" si="0"/>
        <v>199</v>
      </c>
      <c r="M12" s="217">
        <f>+M10+M11</f>
        <v>2870</v>
      </c>
      <c r="N12" s="158"/>
      <c r="O12" s="139"/>
      <c r="P12" s="150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</row>
    <row r="13" spans="1:58" s="250" customFormat="1" ht="12">
      <c r="A13" s="244" t="s">
        <v>109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72"/>
      <c r="N13" s="164"/>
      <c r="O13" s="139"/>
      <c r="P13" s="150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</row>
    <row r="14" spans="1:58" ht="13.5" customHeight="1">
      <c r="A14" s="245" t="s">
        <v>105</v>
      </c>
      <c r="B14" s="215">
        <f aca="true" t="shared" si="1" ref="B14:L16">+B35+B56</f>
        <v>2036</v>
      </c>
      <c r="C14" s="215">
        <f t="shared" si="1"/>
        <v>4779</v>
      </c>
      <c r="D14" s="215">
        <f t="shared" si="1"/>
        <v>1588</v>
      </c>
      <c r="E14" s="215">
        <f t="shared" si="1"/>
        <v>809</v>
      </c>
      <c r="F14" s="215">
        <f t="shared" si="1"/>
        <v>4916</v>
      </c>
      <c r="G14" s="215">
        <f t="shared" si="1"/>
        <v>7118</v>
      </c>
      <c r="H14" s="215">
        <f t="shared" si="1"/>
        <v>1855</v>
      </c>
      <c r="I14" s="215">
        <f t="shared" si="1"/>
        <v>2526</v>
      </c>
      <c r="J14" s="215">
        <f t="shared" si="1"/>
        <v>2934</v>
      </c>
      <c r="K14" s="215">
        <f t="shared" si="1"/>
        <v>3607</v>
      </c>
      <c r="L14" s="215">
        <f t="shared" si="1"/>
        <v>3349</v>
      </c>
      <c r="M14" s="172">
        <f>SUM(B14:L14)</f>
        <v>35517</v>
      </c>
      <c r="N14" s="167"/>
      <c r="O14" s="139"/>
      <c r="P14" s="167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</row>
    <row r="15" spans="1:30" ht="12">
      <c r="A15" s="245" t="s">
        <v>115</v>
      </c>
      <c r="B15" s="215">
        <f t="shared" si="1"/>
        <v>401</v>
      </c>
      <c r="C15" s="215">
        <f t="shared" si="1"/>
        <v>1659</v>
      </c>
      <c r="D15" s="215">
        <f t="shared" si="1"/>
        <v>323</v>
      </c>
      <c r="E15" s="215">
        <f t="shared" si="1"/>
        <v>416</v>
      </c>
      <c r="F15" s="215">
        <f t="shared" si="1"/>
        <v>2231</v>
      </c>
      <c r="G15" s="215">
        <f t="shared" si="1"/>
        <v>2210</v>
      </c>
      <c r="H15" s="215">
        <f t="shared" si="1"/>
        <v>834</v>
      </c>
      <c r="I15" s="215">
        <f t="shared" si="1"/>
        <v>480</v>
      </c>
      <c r="J15" s="215">
        <f t="shared" si="1"/>
        <v>953</v>
      </c>
      <c r="K15" s="215">
        <f t="shared" si="1"/>
        <v>1062</v>
      </c>
      <c r="L15" s="215">
        <f t="shared" si="1"/>
        <v>864</v>
      </c>
      <c r="M15" s="172">
        <f>SUM(B15:L15)</f>
        <v>11433</v>
      </c>
      <c r="N15" s="167"/>
      <c r="O15" s="139"/>
      <c r="P15" s="167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</row>
    <row r="16" spans="1:58" ht="12">
      <c r="A16" s="245" t="s">
        <v>107</v>
      </c>
      <c r="B16" s="215">
        <f t="shared" si="1"/>
        <v>2437</v>
      </c>
      <c r="C16" s="215">
        <f t="shared" si="1"/>
        <v>6438</v>
      </c>
      <c r="D16" s="215">
        <f t="shared" si="1"/>
        <v>1911</v>
      </c>
      <c r="E16" s="215">
        <f t="shared" si="1"/>
        <v>1225</v>
      </c>
      <c r="F16" s="215">
        <f t="shared" si="1"/>
        <v>7147</v>
      </c>
      <c r="G16" s="215">
        <f t="shared" si="1"/>
        <v>9328</v>
      </c>
      <c r="H16" s="215">
        <f t="shared" si="1"/>
        <v>2689</v>
      </c>
      <c r="I16" s="215">
        <f t="shared" si="1"/>
        <v>3006</v>
      </c>
      <c r="J16" s="215">
        <f t="shared" si="1"/>
        <v>3887</v>
      </c>
      <c r="K16" s="215">
        <f t="shared" si="1"/>
        <v>4669</v>
      </c>
      <c r="L16" s="215">
        <f t="shared" si="1"/>
        <v>4213</v>
      </c>
      <c r="M16" s="217">
        <f>+M14+M15</f>
        <v>46950</v>
      </c>
      <c r="N16" s="158"/>
      <c r="O16" s="139"/>
      <c r="P16" s="150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</row>
    <row r="17" spans="1:30" ht="24">
      <c r="A17" s="244" t="s">
        <v>117</v>
      </c>
      <c r="B17" s="169"/>
      <c r="C17" s="215"/>
      <c r="D17" s="215"/>
      <c r="E17" s="215"/>
      <c r="F17" s="169"/>
      <c r="G17" s="169"/>
      <c r="H17" s="169"/>
      <c r="I17" s="169"/>
      <c r="J17" s="172"/>
      <c r="K17" s="215"/>
      <c r="L17" s="172"/>
      <c r="M17" s="172"/>
      <c r="N17" s="171"/>
      <c r="O17" s="139"/>
      <c r="P17" s="171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</row>
    <row r="18" spans="1:30" ht="12">
      <c r="A18" s="245" t="s">
        <v>105</v>
      </c>
      <c r="B18" s="215">
        <f aca="true" t="shared" si="2" ref="B18:L20">+B39+B60</f>
        <v>310</v>
      </c>
      <c r="C18" s="215">
        <f t="shared" si="2"/>
        <v>1908</v>
      </c>
      <c r="D18" s="215">
        <f t="shared" si="2"/>
        <v>606</v>
      </c>
      <c r="E18" s="215">
        <f t="shared" si="2"/>
        <v>0</v>
      </c>
      <c r="F18" s="215">
        <f t="shared" si="2"/>
        <v>2249</v>
      </c>
      <c r="G18" s="215">
        <f t="shared" si="2"/>
        <v>2801</v>
      </c>
      <c r="H18" s="215">
        <f t="shared" si="2"/>
        <v>728</v>
      </c>
      <c r="I18" s="215">
        <f t="shared" si="2"/>
        <v>136</v>
      </c>
      <c r="J18" s="215">
        <f t="shared" si="2"/>
        <v>1201</v>
      </c>
      <c r="K18" s="215">
        <f t="shared" si="2"/>
        <v>1105</v>
      </c>
      <c r="L18" s="215">
        <f t="shared" si="2"/>
        <v>1327</v>
      </c>
      <c r="M18" s="172">
        <f>SUM(B18:L18)</f>
        <v>12371</v>
      </c>
      <c r="N18" s="150"/>
      <c r="O18" s="139"/>
      <c r="P18" s="150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</row>
    <row r="19" spans="1:30" ht="12">
      <c r="A19" s="245" t="s">
        <v>115</v>
      </c>
      <c r="B19" s="215">
        <f t="shared" si="2"/>
        <v>60</v>
      </c>
      <c r="C19" s="215">
        <f t="shared" si="2"/>
        <v>279</v>
      </c>
      <c r="D19" s="215">
        <f t="shared" si="2"/>
        <v>73</v>
      </c>
      <c r="E19" s="215">
        <f t="shared" si="2"/>
        <v>13</v>
      </c>
      <c r="F19" s="215">
        <f t="shared" si="2"/>
        <v>769</v>
      </c>
      <c r="G19" s="215">
        <f t="shared" si="2"/>
        <v>803</v>
      </c>
      <c r="H19" s="215">
        <f t="shared" si="2"/>
        <v>164</v>
      </c>
      <c r="I19" s="215">
        <f t="shared" si="2"/>
        <v>8</v>
      </c>
      <c r="J19" s="215">
        <f t="shared" si="2"/>
        <v>385</v>
      </c>
      <c r="K19" s="215">
        <f t="shared" si="2"/>
        <v>217</v>
      </c>
      <c r="L19" s="215">
        <f t="shared" si="2"/>
        <v>333</v>
      </c>
      <c r="M19" s="172">
        <f>SUM(B19:L19)</f>
        <v>3104</v>
      </c>
      <c r="N19" s="164"/>
      <c r="O19" s="161"/>
      <c r="P19" s="164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</row>
    <row r="20" spans="1:58" ht="12">
      <c r="A20" s="245" t="s">
        <v>107</v>
      </c>
      <c r="B20" s="215">
        <f t="shared" si="2"/>
        <v>370</v>
      </c>
      <c r="C20" s="215">
        <f t="shared" si="2"/>
        <v>2187</v>
      </c>
      <c r="D20" s="215">
        <f t="shared" si="2"/>
        <v>679</v>
      </c>
      <c r="E20" s="215">
        <f t="shared" si="2"/>
        <v>13</v>
      </c>
      <c r="F20" s="215">
        <f t="shared" si="2"/>
        <v>3018</v>
      </c>
      <c r="G20" s="215">
        <f t="shared" si="2"/>
        <v>3604</v>
      </c>
      <c r="H20" s="215">
        <f t="shared" si="2"/>
        <v>892</v>
      </c>
      <c r="I20" s="215">
        <f t="shared" si="2"/>
        <v>144</v>
      </c>
      <c r="J20" s="215">
        <f t="shared" si="2"/>
        <v>1586</v>
      </c>
      <c r="K20" s="215">
        <f t="shared" si="2"/>
        <v>1322</v>
      </c>
      <c r="L20" s="215">
        <f t="shared" si="2"/>
        <v>1660</v>
      </c>
      <c r="M20" s="217">
        <f>+M18+M19</f>
        <v>15475</v>
      </c>
      <c r="N20" s="158"/>
      <c r="O20" s="150"/>
      <c r="P20" s="150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</row>
    <row r="21" spans="1:30" ht="12">
      <c r="A21" s="244" t="s">
        <v>111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72"/>
      <c r="N21" s="163"/>
      <c r="O21" s="163"/>
      <c r="P21" s="163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</row>
    <row r="22" spans="1:30" ht="12">
      <c r="A22" s="245" t="s">
        <v>105</v>
      </c>
      <c r="B22" s="215">
        <f aca="true" t="shared" si="3" ref="B22:M23">B43+B64</f>
        <v>604</v>
      </c>
      <c r="C22" s="215">
        <f t="shared" si="3"/>
        <v>0</v>
      </c>
      <c r="D22" s="215">
        <f t="shared" si="3"/>
        <v>1788</v>
      </c>
      <c r="E22" s="215">
        <f t="shared" si="3"/>
        <v>5242</v>
      </c>
      <c r="F22" s="215">
        <f t="shared" si="3"/>
        <v>1069</v>
      </c>
      <c r="G22" s="215">
        <f t="shared" si="3"/>
        <v>8</v>
      </c>
      <c r="H22" s="215">
        <f t="shared" si="3"/>
        <v>0</v>
      </c>
      <c r="I22" s="215">
        <f t="shared" si="3"/>
        <v>2564</v>
      </c>
      <c r="J22" s="215">
        <f t="shared" si="3"/>
        <v>797</v>
      </c>
      <c r="K22" s="215">
        <f t="shared" si="3"/>
        <v>0</v>
      </c>
      <c r="L22" s="215">
        <f t="shared" si="3"/>
        <v>0</v>
      </c>
      <c r="M22" s="215">
        <f t="shared" si="3"/>
        <v>12072</v>
      </c>
      <c r="N22" s="177"/>
      <c r="O22" s="177"/>
      <c r="P22" s="177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</row>
    <row r="23" spans="1:30" ht="12">
      <c r="A23" s="245" t="s">
        <v>115</v>
      </c>
      <c r="B23" s="215">
        <f t="shared" si="3"/>
        <v>376</v>
      </c>
      <c r="C23" s="215">
        <f t="shared" si="3"/>
        <v>0</v>
      </c>
      <c r="D23" s="215">
        <f t="shared" si="3"/>
        <v>598</v>
      </c>
      <c r="E23" s="215">
        <f t="shared" si="3"/>
        <v>1531</v>
      </c>
      <c r="F23" s="215">
        <f t="shared" si="3"/>
        <v>532</v>
      </c>
      <c r="G23" s="215">
        <f t="shared" si="3"/>
        <v>0</v>
      </c>
      <c r="H23" s="215">
        <f t="shared" si="3"/>
        <v>0</v>
      </c>
      <c r="I23" s="215">
        <f t="shared" si="3"/>
        <v>639</v>
      </c>
      <c r="J23" s="215">
        <f t="shared" si="3"/>
        <v>2</v>
      </c>
      <c r="K23" s="215">
        <f t="shared" si="3"/>
        <v>0</v>
      </c>
      <c r="L23" s="215">
        <f t="shared" si="3"/>
        <v>0</v>
      </c>
      <c r="M23" s="215">
        <f t="shared" si="3"/>
        <v>3678</v>
      </c>
      <c r="N23" s="150"/>
      <c r="O23" s="150"/>
      <c r="P23" s="150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</row>
    <row r="24" spans="1:58" ht="12">
      <c r="A24" s="245" t="s">
        <v>107</v>
      </c>
      <c r="B24" s="215">
        <f>B22+B23</f>
        <v>980</v>
      </c>
      <c r="C24" s="215">
        <f aca="true" t="shared" si="4" ref="C24:L24">C22+C23</f>
        <v>0</v>
      </c>
      <c r="D24" s="215">
        <f t="shared" si="4"/>
        <v>2386</v>
      </c>
      <c r="E24" s="215">
        <f t="shared" si="4"/>
        <v>6773</v>
      </c>
      <c r="F24" s="215">
        <f t="shared" si="4"/>
        <v>1601</v>
      </c>
      <c r="G24" s="215">
        <f t="shared" si="4"/>
        <v>8</v>
      </c>
      <c r="H24" s="215">
        <f t="shared" si="4"/>
        <v>0</v>
      </c>
      <c r="I24" s="215">
        <f t="shared" si="4"/>
        <v>3203</v>
      </c>
      <c r="J24" s="215">
        <f t="shared" si="4"/>
        <v>799</v>
      </c>
      <c r="K24" s="215">
        <f t="shared" si="4"/>
        <v>0</v>
      </c>
      <c r="L24" s="215">
        <f t="shared" si="4"/>
        <v>0</v>
      </c>
      <c r="M24" s="217">
        <f>+M22+M23</f>
        <v>15750</v>
      </c>
      <c r="N24" s="158"/>
      <c r="O24" s="150"/>
      <c r="P24" s="150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</row>
    <row r="25" spans="1:30" ht="12">
      <c r="A25" s="244" t="s">
        <v>112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51"/>
      <c r="N25" s="150"/>
      <c r="O25" s="150"/>
      <c r="P25" s="150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</row>
    <row r="26" spans="1:16" ht="12">
      <c r="A26" s="245" t="s">
        <v>105</v>
      </c>
      <c r="B26" s="223">
        <f>+B22+B18+B14+B10</f>
        <v>2952</v>
      </c>
      <c r="C26" s="223">
        <f aca="true" t="shared" si="5" ref="C26:L27">+C22+C18+C14+C10</f>
        <v>6688</v>
      </c>
      <c r="D26" s="223">
        <f t="shared" si="5"/>
        <v>3982</v>
      </c>
      <c r="E26" s="223">
        <f t="shared" si="5"/>
        <v>6053</v>
      </c>
      <c r="F26" s="223">
        <f t="shared" si="5"/>
        <v>8234</v>
      </c>
      <c r="G26" s="223">
        <f t="shared" si="5"/>
        <v>9927</v>
      </c>
      <c r="H26" s="223">
        <f t="shared" si="5"/>
        <v>2802</v>
      </c>
      <c r="I26" s="223">
        <f t="shared" si="5"/>
        <v>5228</v>
      </c>
      <c r="J26" s="223">
        <f t="shared" si="5"/>
        <v>4936</v>
      </c>
      <c r="K26" s="223">
        <f t="shared" si="5"/>
        <v>4712</v>
      </c>
      <c r="L26" s="223">
        <f t="shared" si="5"/>
        <v>4676</v>
      </c>
      <c r="M26" s="223">
        <f>+M22+M18+M14+M10</f>
        <v>60190</v>
      </c>
      <c r="N26" s="181"/>
      <c r="O26" s="181"/>
      <c r="P26" s="181"/>
    </row>
    <row r="27" spans="1:16" ht="12">
      <c r="A27" s="245" t="s">
        <v>115</v>
      </c>
      <c r="B27" s="223">
        <f>+B23+B19+B15+B11</f>
        <v>892</v>
      </c>
      <c r="C27" s="223">
        <f t="shared" si="5"/>
        <v>2069</v>
      </c>
      <c r="D27" s="223">
        <f t="shared" si="5"/>
        <v>1085</v>
      </c>
      <c r="E27" s="223">
        <f t="shared" si="5"/>
        <v>2460</v>
      </c>
      <c r="F27" s="223">
        <f t="shared" si="5"/>
        <v>3819</v>
      </c>
      <c r="G27" s="223">
        <f t="shared" si="5"/>
        <v>3516</v>
      </c>
      <c r="H27" s="223">
        <f t="shared" si="5"/>
        <v>1099</v>
      </c>
      <c r="I27" s="223">
        <f t="shared" si="5"/>
        <v>1214</v>
      </c>
      <c r="J27" s="223">
        <f t="shared" si="5"/>
        <v>1920</v>
      </c>
      <c r="K27" s="223">
        <f t="shared" si="5"/>
        <v>1385</v>
      </c>
      <c r="L27" s="223">
        <f t="shared" si="5"/>
        <v>1396</v>
      </c>
      <c r="M27" s="223">
        <f>+M23+M19+M15+M11</f>
        <v>20855</v>
      </c>
      <c r="N27" s="181"/>
      <c r="O27" s="181"/>
      <c r="P27" s="181"/>
    </row>
    <row r="28" spans="1:58" ht="12">
      <c r="A28" s="245" t="s">
        <v>107</v>
      </c>
      <c r="B28" s="217">
        <f aca="true" t="shared" si="6" ref="B28:M28">+B26+B27</f>
        <v>3844</v>
      </c>
      <c r="C28" s="217">
        <f t="shared" si="6"/>
        <v>8757</v>
      </c>
      <c r="D28" s="217">
        <f t="shared" si="6"/>
        <v>5067</v>
      </c>
      <c r="E28" s="217">
        <f t="shared" si="6"/>
        <v>8513</v>
      </c>
      <c r="F28" s="217">
        <f t="shared" si="6"/>
        <v>12053</v>
      </c>
      <c r="G28" s="217">
        <f t="shared" si="6"/>
        <v>13443</v>
      </c>
      <c r="H28" s="217">
        <f t="shared" si="6"/>
        <v>3901</v>
      </c>
      <c r="I28" s="217">
        <f t="shared" si="6"/>
        <v>6442</v>
      </c>
      <c r="J28" s="217">
        <f t="shared" si="6"/>
        <v>6856</v>
      </c>
      <c r="K28" s="217">
        <f t="shared" si="6"/>
        <v>6097</v>
      </c>
      <c r="L28" s="217">
        <f t="shared" si="6"/>
        <v>6072</v>
      </c>
      <c r="M28" s="217">
        <f t="shared" si="6"/>
        <v>81045</v>
      </c>
      <c r="N28" s="158"/>
      <c r="O28" s="150"/>
      <c r="P28" s="150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</row>
    <row r="29" spans="2:13" s="135" customFormat="1" ht="12">
      <c r="B29" s="218"/>
      <c r="C29" s="218"/>
      <c r="D29" s="196"/>
      <c r="E29" s="218"/>
      <c r="F29" s="218" t="s">
        <v>114</v>
      </c>
      <c r="G29" s="218"/>
      <c r="H29" s="218"/>
      <c r="I29" s="218"/>
      <c r="J29" s="218"/>
      <c r="K29" s="196"/>
      <c r="L29" s="218"/>
      <c r="M29" s="218"/>
    </row>
    <row r="30" spans="1:58" s="120" customFormat="1" ht="12">
      <c r="A30" s="244" t="s">
        <v>104</v>
      </c>
      <c r="B30" s="215"/>
      <c r="C30" s="215"/>
      <c r="D30" s="169"/>
      <c r="E30" s="169"/>
      <c r="F30" s="169"/>
      <c r="G30" s="169"/>
      <c r="H30" s="215"/>
      <c r="I30" s="169"/>
      <c r="J30" s="169"/>
      <c r="K30" s="215"/>
      <c r="L30" s="169"/>
      <c r="M30" s="172"/>
      <c r="N30" s="150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</row>
    <row r="31" spans="1:58" ht="12">
      <c r="A31" s="245" t="s">
        <v>105</v>
      </c>
      <c r="B31" s="37">
        <v>0</v>
      </c>
      <c r="C31" s="37"/>
      <c r="D31" s="37">
        <v>0</v>
      </c>
      <c r="E31" s="37">
        <v>1</v>
      </c>
      <c r="F31" s="37"/>
      <c r="G31" s="37"/>
      <c r="H31" s="37"/>
      <c r="I31" s="37">
        <v>2</v>
      </c>
      <c r="J31" s="37">
        <v>4</v>
      </c>
      <c r="K31" s="37">
        <v>0</v>
      </c>
      <c r="L31" s="37"/>
      <c r="M31" s="172">
        <f>SUM(B31:L31)</f>
        <v>7</v>
      </c>
      <c r="N31" s="150"/>
      <c r="O31" s="150"/>
      <c r="P31" s="150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</row>
    <row r="32" spans="1:58" ht="12">
      <c r="A32" s="245" t="s">
        <v>115</v>
      </c>
      <c r="B32" s="37">
        <v>27</v>
      </c>
      <c r="C32" s="37">
        <v>66</v>
      </c>
      <c r="D32" s="37">
        <v>33</v>
      </c>
      <c r="E32" s="37">
        <v>196</v>
      </c>
      <c r="F32" s="37">
        <v>235</v>
      </c>
      <c r="G32" s="37">
        <v>188</v>
      </c>
      <c r="H32" s="37">
        <v>6</v>
      </c>
      <c r="I32" s="37">
        <v>51</v>
      </c>
      <c r="J32" s="37">
        <v>58</v>
      </c>
      <c r="K32" s="37">
        <v>56</v>
      </c>
      <c r="L32" s="37">
        <v>84</v>
      </c>
      <c r="M32" s="172">
        <f>SUM(B32:L32)</f>
        <v>1000</v>
      </c>
      <c r="N32" s="150"/>
      <c r="O32" s="150"/>
      <c r="P32" s="150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</row>
    <row r="33" spans="1:58" ht="12">
      <c r="A33" s="245" t="s">
        <v>107</v>
      </c>
      <c r="B33" s="217">
        <f aca="true" t="shared" si="7" ref="B33:M33">+B31+B32</f>
        <v>27</v>
      </c>
      <c r="C33" s="217">
        <f t="shared" si="7"/>
        <v>66</v>
      </c>
      <c r="D33" s="217">
        <f t="shared" si="7"/>
        <v>33</v>
      </c>
      <c r="E33" s="217">
        <f t="shared" si="7"/>
        <v>197</v>
      </c>
      <c r="F33" s="217">
        <f t="shared" si="7"/>
        <v>235</v>
      </c>
      <c r="G33" s="217">
        <f t="shared" si="7"/>
        <v>188</v>
      </c>
      <c r="H33" s="217">
        <f t="shared" si="7"/>
        <v>6</v>
      </c>
      <c r="I33" s="217">
        <f t="shared" si="7"/>
        <v>53</v>
      </c>
      <c r="J33" s="217">
        <f t="shared" si="7"/>
        <v>62</v>
      </c>
      <c r="K33" s="217">
        <f t="shared" si="7"/>
        <v>56</v>
      </c>
      <c r="L33" s="217">
        <f t="shared" si="7"/>
        <v>84</v>
      </c>
      <c r="M33" s="217">
        <f t="shared" si="7"/>
        <v>1007</v>
      </c>
      <c r="N33" s="158"/>
      <c r="O33" s="150"/>
      <c r="P33" s="150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</row>
    <row r="34" spans="1:58" s="250" customFormat="1" ht="12">
      <c r="A34" s="244" t="s">
        <v>109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72"/>
      <c r="N34" s="164"/>
      <c r="O34" s="150"/>
      <c r="P34" s="150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49"/>
      <c r="AL34" s="249"/>
      <c r="AM34" s="249"/>
      <c r="AN34" s="249"/>
      <c r="AO34" s="249"/>
      <c r="AP34" s="249"/>
      <c r="AQ34" s="249"/>
      <c r="AR34" s="249"/>
      <c r="AS34" s="249"/>
      <c r="AT34" s="249"/>
      <c r="AU34" s="249"/>
      <c r="AV34" s="249"/>
      <c r="AW34" s="249"/>
      <c r="AX34" s="249"/>
      <c r="AY34" s="249"/>
      <c r="AZ34" s="249"/>
      <c r="BA34" s="249"/>
      <c r="BB34" s="249"/>
      <c r="BC34" s="249"/>
      <c r="BD34" s="249"/>
      <c r="BE34" s="249"/>
      <c r="BF34" s="249"/>
    </row>
    <row r="35" spans="1:58" ht="13.5" customHeight="1">
      <c r="A35" s="245" t="s">
        <v>105</v>
      </c>
      <c r="B35" s="223">
        <v>1189</v>
      </c>
      <c r="C35" s="223">
        <v>2557</v>
      </c>
      <c r="D35" s="37">
        <v>960</v>
      </c>
      <c r="E35" s="37">
        <v>295</v>
      </c>
      <c r="F35" s="223">
        <v>3560</v>
      </c>
      <c r="G35" s="223">
        <v>2564</v>
      </c>
      <c r="H35" s="37">
        <v>366</v>
      </c>
      <c r="I35" s="37">
        <v>712</v>
      </c>
      <c r="J35" s="37">
        <v>511</v>
      </c>
      <c r="K35" s="223">
        <v>2240</v>
      </c>
      <c r="L35" s="223">
        <v>1263</v>
      </c>
      <c r="M35" s="172">
        <f>SUM(B35:L35)</f>
        <v>16217</v>
      </c>
      <c r="N35" s="167"/>
      <c r="O35" s="167"/>
      <c r="P35" s="167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</row>
    <row r="36" spans="1:30" ht="12">
      <c r="A36" s="245" t="s">
        <v>115</v>
      </c>
      <c r="B36" s="37">
        <v>252</v>
      </c>
      <c r="C36" s="37">
        <v>864</v>
      </c>
      <c r="D36" s="37">
        <v>145</v>
      </c>
      <c r="E36" s="37">
        <v>170</v>
      </c>
      <c r="F36" s="37">
        <v>1744</v>
      </c>
      <c r="G36" s="37">
        <v>895</v>
      </c>
      <c r="H36" s="37">
        <v>179</v>
      </c>
      <c r="I36" s="37">
        <v>212</v>
      </c>
      <c r="J36" s="37">
        <v>162</v>
      </c>
      <c r="K36" s="37">
        <v>673</v>
      </c>
      <c r="L36" s="37">
        <v>380</v>
      </c>
      <c r="M36" s="172">
        <f>SUM(B36:L36)</f>
        <v>5676</v>
      </c>
      <c r="N36" s="167"/>
      <c r="O36" s="167"/>
      <c r="P36" s="167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</row>
    <row r="37" spans="1:58" ht="12">
      <c r="A37" s="245" t="s">
        <v>107</v>
      </c>
      <c r="B37" s="217">
        <f aca="true" t="shared" si="8" ref="B37:M37">+B35+B36</f>
        <v>1441</v>
      </c>
      <c r="C37" s="217">
        <f t="shared" si="8"/>
        <v>3421</v>
      </c>
      <c r="D37" s="217">
        <f t="shared" si="8"/>
        <v>1105</v>
      </c>
      <c r="E37" s="217">
        <f t="shared" si="8"/>
        <v>465</v>
      </c>
      <c r="F37" s="217">
        <f t="shared" si="8"/>
        <v>5304</v>
      </c>
      <c r="G37" s="217">
        <f t="shared" si="8"/>
        <v>3459</v>
      </c>
      <c r="H37" s="217">
        <f t="shared" si="8"/>
        <v>545</v>
      </c>
      <c r="I37" s="217">
        <f t="shared" si="8"/>
        <v>924</v>
      </c>
      <c r="J37" s="217">
        <f t="shared" si="8"/>
        <v>673</v>
      </c>
      <c r="K37" s="217">
        <f t="shared" si="8"/>
        <v>2913</v>
      </c>
      <c r="L37" s="217">
        <f t="shared" si="8"/>
        <v>1643</v>
      </c>
      <c r="M37" s="217">
        <f t="shared" si="8"/>
        <v>21893</v>
      </c>
      <c r="N37" s="158"/>
      <c r="O37" s="150"/>
      <c r="P37" s="150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  <c r="BC37" s="246"/>
      <c r="BD37" s="246"/>
      <c r="BE37" s="246"/>
      <c r="BF37" s="246"/>
    </row>
    <row r="38" spans="1:30" ht="24">
      <c r="A38" s="244" t="s">
        <v>117</v>
      </c>
      <c r="B38" s="169"/>
      <c r="C38" s="215"/>
      <c r="D38" s="215"/>
      <c r="E38" s="215"/>
      <c r="F38" s="169"/>
      <c r="G38" s="169"/>
      <c r="H38" s="169"/>
      <c r="I38" s="169"/>
      <c r="J38" s="172"/>
      <c r="K38" s="215"/>
      <c r="L38" s="172"/>
      <c r="M38" s="172"/>
      <c r="N38" s="171"/>
      <c r="O38" s="171"/>
      <c r="P38" s="171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</row>
    <row r="39" spans="1:30" ht="12">
      <c r="A39" s="245" t="s">
        <v>105</v>
      </c>
      <c r="B39" s="37">
        <v>181</v>
      </c>
      <c r="C39" s="37">
        <v>943</v>
      </c>
      <c r="D39" s="37">
        <v>276</v>
      </c>
      <c r="E39" s="37">
        <v>0</v>
      </c>
      <c r="F39" s="223">
        <v>1661</v>
      </c>
      <c r="G39" s="37">
        <v>966</v>
      </c>
      <c r="H39" s="37">
        <v>98</v>
      </c>
      <c r="I39" s="37">
        <v>25</v>
      </c>
      <c r="J39" s="37">
        <v>181</v>
      </c>
      <c r="K39" s="37">
        <v>610</v>
      </c>
      <c r="L39" s="37">
        <v>445</v>
      </c>
      <c r="M39" s="172">
        <f>SUM(B39:L39)</f>
        <v>5386</v>
      </c>
      <c r="N39" s="150"/>
      <c r="O39" s="150"/>
      <c r="P39" s="150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</row>
    <row r="40" spans="1:30" ht="12">
      <c r="A40" s="245" t="s">
        <v>115</v>
      </c>
      <c r="B40" s="37">
        <v>41</v>
      </c>
      <c r="C40" s="37">
        <v>149</v>
      </c>
      <c r="D40" s="37">
        <v>23</v>
      </c>
      <c r="E40" s="37">
        <v>7</v>
      </c>
      <c r="F40" s="37">
        <v>605</v>
      </c>
      <c r="G40" s="37">
        <v>291</v>
      </c>
      <c r="H40" s="37">
        <v>21</v>
      </c>
      <c r="I40" s="37">
        <v>2</v>
      </c>
      <c r="J40" s="37">
        <v>56</v>
      </c>
      <c r="K40" s="37">
        <v>142</v>
      </c>
      <c r="L40" s="37">
        <v>123</v>
      </c>
      <c r="M40" s="172">
        <f>SUM(B40:L40)</f>
        <v>1460</v>
      </c>
      <c r="N40" s="164"/>
      <c r="O40" s="164"/>
      <c r="P40" s="164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</row>
    <row r="41" spans="1:58" ht="12">
      <c r="A41" s="245" t="s">
        <v>107</v>
      </c>
      <c r="B41" s="217">
        <f aca="true" t="shared" si="9" ref="B41:M41">+B39+B40</f>
        <v>222</v>
      </c>
      <c r="C41" s="217">
        <f t="shared" si="9"/>
        <v>1092</v>
      </c>
      <c r="D41" s="217">
        <f t="shared" si="9"/>
        <v>299</v>
      </c>
      <c r="E41" s="217">
        <f t="shared" si="9"/>
        <v>7</v>
      </c>
      <c r="F41" s="217">
        <f t="shared" si="9"/>
        <v>2266</v>
      </c>
      <c r="G41" s="217">
        <f t="shared" si="9"/>
        <v>1257</v>
      </c>
      <c r="H41" s="217">
        <f t="shared" si="9"/>
        <v>119</v>
      </c>
      <c r="I41" s="217">
        <f t="shared" si="9"/>
        <v>27</v>
      </c>
      <c r="J41" s="217">
        <f t="shared" si="9"/>
        <v>237</v>
      </c>
      <c r="K41" s="217">
        <f t="shared" si="9"/>
        <v>752</v>
      </c>
      <c r="L41" s="217">
        <f t="shared" si="9"/>
        <v>568</v>
      </c>
      <c r="M41" s="217">
        <f t="shared" si="9"/>
        <v>6846</v>
      </c>
      <c r="N41" s="158"/>
      <c r="O41" s="150"/>
      <c r="P41" s="150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</row>
    <row r="42" spans="1:58" ht="12">
      <c r="A42" s="244" t="s">
        <v>111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72"/>
      <c r="N42" s="158"/>
      <c r="O42" s="150"/>
      <c r="P42" s="150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6"/>
      <c r="BC42" s="246"/>
      <c r="BD42" s="246"/>
      <c r="BE42" s="246"/>
      <c r="BF42" s="246"/>
    </row>
    <row r="43" spans="1:58" ht="12">
      <c r="A43" s="245" t="s">
        <v>105</v>
      </c>
      <c r="B43" s="37">
        <v>179</v>
      </c>
      <c r="C43" s="37"/>
      <c r="D43" s="37">
        <v>489</v>
      </c>
      <c r="E43" s="37">
        <v>2054</v>
      </c>
      <c r="F43" s="37">
        <v>495</v>
      </c>
      <c r="G43" s="37">
        <v>3</v>
      </c>
      <c r="H43" s="37"/>
      <c r="I43" s="37">
        <v>1181</v>
      </c>
      <c r="J43" s="37">
        <v>42</v>
      </c>
      <c r="K43" s="37"/>
      <c r="L43" s="37"/>
      <c r="M43" s="172">
        <f>SUM(B43:L43)</f>
        <v>4443</v>
      </c>
      <c r="N43" s="158"/>
      <c r="O43" s="150"/>
      <c r="P43" s="150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246"/>
    </row>
    <row r="44" spans="1:58" ht="12">
      <c r="A44" s="245" t="s">
        <v>115</v>
      </c>
      <c r="B44" s="37">
        <v>114</v>
      </c>
      <c r="C44" s="37"/>
      <c r="D44" s="37">
        <v>171</v>
      </c>
      <c r="E44" s="37">
        <v>609</v>
      </c>
      <c r="F44" s="37">
        <v>256</v>
      </c>
      <c r="G44" s="37">
        <v>0</v>
      </c>
      <c r="H44" s="37"/>
      <c r="I44" s="37">
        <v>283</v>
      </c>
      <c r="J44" s="37">
        <v>0</v>
      </c>
      <c r="K44" s="37"/>
      <c r="L44" s="37"/>
      <c r="M44" s="172">
        <f>SUM(B44:L44)</f>
        <v>1433</v>
      </c>
      <c r="N44" s="158"/>
      <c r="O44" s="150"/>
      <c r="P44" s="150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6"/>
      <c r="BC44" s="246"/>
      <c r="BD44" s="246"/>
      <c r="BE44" s="246"/>
      <c r="BF44" s="246"/>
    </row>
    <row r="45" spans="1:58" ht="12">
      <c r="A45" s="245" t="s">
        <v>107</v>
      </c>
      <c r="B45" s="217">
        <f aca="true" t="shared" si="10" ref="B45:M45">+B43+B44</f>
        <v>293</v>
      </c>
      <c r="C45" s="217">
        <f t="shared" si="10"/>
        <v>0</v>
      </c>
      <c r="D45" s="217">
        <f t="shared" si="10"/>
        <v>660</v>
      </c>
      <c r="E45" s="217">
        <f t="shared" si="10"/>
        <v>2663</v>
      </c>
      <c r="F45" s="217">
        <f t="shared" si="10"/>
        <v>751</v>
      </c>
      <c r="G45" s="217">
        <f t="shared" si="10"/>
        <v>3</v>
      </c>
      <c r="H45" s="217">
        <f t="shared" si="10"/>
        <v>0</v>
      </c>
      <c r="I45" s="217">
        <f t="shared" si="10"/>
        <v>1464</v>
      </c>
      <c r="J45" s="217">
        <f t="shared" si="10"/>
        <v>42</v>
      </c>
      <c r="K45" s="217">
        <f t="shared" si="10"/>
        <v>0</v>
      </c>
      <c r="L45" s="217">
        <f t="shared" si="10"/>
        <v>0</v>
      </c>
      <c r="M45" s="217">
        <f t="shared" si="10"/>
        <v>5876</v>
      </c>
      <c r="N45" s="158"/>
      <c r="O45" s="150"/>
      <c r="P45" s="150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</row>
    <row r="46" spans="1:30" ht="12">
      <c r="A46" s="244" t="s">
        <v>112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51"/>
      <c r="N46" s="150"/>
      <c r="O46" s="150"/>
      <c r="P46" s="150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</row>
    <row r="47" spans="1:16" ht="12">
      <c r="A47" s="245" t="s">
        <v>105</v>
      </c>
      <c r="B47" s="223">
        <f>+B43+B39+B35+B31</f>
        <v>1549</v>
      </c>
      <c r="C47" s="223">
        <f aca="true" t="shared" si="11" ref="C47:M48">+C43+C39+C35+C31</f>
        <v>3500</v>
      </c>
      <c r="D47" s="223">
        <f t="shared" si="11"/>
        <v>1725</v>
      </c>
      <c r="E47" s="223">
        <f t="shared" si="11"/>
        <v>2350</v>
      </c>
      <c r="F47" s="223">
        <f t="shared" si="11"/>
        <v>5716</v>
      </c>
      <c r="G47" s="223">
        <f t="shared" si="11"/>
        <v>3533</v>
      </c>
      <c r="H47" s="223">
        <f t="shared" si="11"/>
        <v>464</v>
      </c>
      <c r="I47" s="223">
        <f t="shared" si="11"/>
        <v>1920</v>
      </c>
      <c r="J47" s="223">
        <f t="shared" si="11"/>
        <v>738</v>
      </c>
      <c r="K47" s="223">
        <f t="shared" si="11"/>
        <v>2850</v>
      </c>
      <c r="L47" s="223">
        <f t="shared" si="11"/>
        <v>1708</v>
      </c>
      <c r="M47" s="223">
        <f t="shared" si="11"/>
        <v>26053</v>
      </c>
      <c r="N47" s="181"/>
      <c r="O47" s="181"/>
      <c r="P47" s="181"/>
    </row>
    <row r="48" spans="1:16" ht="12">
      <c r="A48" s="245" t="s">
        <v>115</v>
      </c>
      <c r="B48" s="223">
        <f>+B44+B40+B36+B32</f>
        <v>434</v>
      </c>
      <c r="C48" s="223">
        <f t="shared" si="11"/>
        <v>1079</v>
      </c>
      <c r="D48" s="223">
        <f t="shared" si="11"/>
        <v>372</v>
      </c>
      <c r="E48" s="223">
        <f t="shared" si="11"/>
        <v>982</v>
      </c>
      <c r="F48" s="223">
        <f t="shared" si="11"/>
        <v>2840</v>
      </c>
      <c r="G48" s="223">
        <f t="shared" si="11"/>
        <v>1374</v>
      </c>
      <c r="H48" s="223">
        <f t="shared" si="11"/>
        <v>206</v>
      </c>
      <c r="I48" s="223">
        <f t="shared" si="11"/>
        <v>548</v>
      </c>
      <c r="J48" s="223">
        <f t="shared" si="11"/>
        <v>276</v>
      </c>
      <c r="K48" s="223">
        <f t="shared" si="11"/>
        <v>871</v>
      </c>
      <c r="L48" s="223">
        <f t="shared" si="11"/>
        <v>587</v>
      </c>
      <c r="M48" s="223">
        <f t="shared" si="11"/>
        <v>9569</v>
      </c>
      <c r="N48" s="181"/>
      <c r="O48" s="181"/>
      <c r="P48" s="181"/>
    </row>
    <row r="49" spans="1:72" ht="12">
      <c r="A49" s="245" t="s">
        <v>107</v>
      </c>
      <c r="B49" s="217">
        <f aca="true" t="shared" si="12" ref="B49:M49">+B47+B48</f>
        <v>1983</v>
      </c>
      <c r="C49" s="217">
        <f>+C47+C48</f>
        <v>4579</v>
      </c>
      <c r="D49" s="217">
        <f t="shared" si="12"/>
        <v>2097</v>
      </c>
      <c r="E49" s="217">
        <f t="shared" si="12"/>
        <v>3332</v>
      </c>
      <c r="F49" s="217">
        <f t="shared" si="12"/>
        <v>8556</v>
      </c>
      <c r="G49" s="217">
        <f t="shared" si="12"/>
        <v>4907</v>
      </c>
      <c r="H49" s="217">
        <f t="shared" si="12"/>
        <v>670</v>
      </c>
      <c r="I49" s="217">
        <f t="shared" si="12"/>
        <v>2468</v>
      </c>
      <c r="J49" s="217">
        <f t="shared" si="12"/>
        <v>1014</v>
      </c>
      <c r="K49" s="217">
        <f t="shared" si="12"/>
        <v>3721</v>
      </c>
      <c r="L49" s="217">
        <f t="shared" si="12"/>
        <v>2295</v>
      </c>
      <c r="M49" s="217">
        <f t="shared" si="12"/>
        <v>35622</v>
      </c>
      <c r="N49" s="158"/>
      <c r="O49" s="150"/>
      <c r="P49" s="150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6"/>
      <c r="AU49" s="246"/>
      <c r="AV49" s="246"/>
      <c r="AW49" s="246"/>
      <c r="AX49" s="246"/>
      <c r="AY49" s="246"/>
      <c r="AZ49" s="246"/>
      <c r="BA49" s="246"/>
      <c r="BB49" s="246"/>
      <c r="BC49" s="246"/>
      <c r="BD49" s="246"/>
      <c r="BE49" s="246"/>
      <c r="BF49" s="246"/>
      <c r="BG49" s="246"/>
      <c r="BH49" s="246"/>
      <c r="BI49" s="246"/>
      <c r="BJ49" s="246"/>
      <c r="BK49" s="246"/>
      <c r="BL49" s="246"/>
      <c r="BM49" s="246"/>
      <c r="BN49" s="246"/>
      <c r="BO49" s="246"/>
      <c r="BP49" s="246"/>
      <c r="BQ49" s="246"/>
      <c r="BR49" s="246"/>
      <c r="BS49" s="246"/>
      <c r="BT49" s="246"/>
    </row>
    <row r="50" spans="2:13" s="135" customFormat="1" ht="12">
      <c r="B50" s="218"/>
      <c r="C50" s="218"/>
      <c r="D50" s="196"/>
      <c r="E50" s="218"/>
      <c r="F50" s="218" t="s">
        <v>65</v>
      </c>
      <c r="G50" s="218"/>
      <c r="H50" s="218"/>
      <c r="I50" s="218"/>
      <c r="J50" s="218"/>
      <c r="K50" s="196"/>
      <c r="L50" s="218"/>
      <c r="M50" s="218"/>
    </row>
    <row r="51" spans="1:58" s="120" customFormat="1" ht="12">
      <c r="A51" s="244" t="s">
        <v>104</v>
      </c>
      <c r="B51" s="215"/>
      <c r="C51" s="215"/>
      <c r="D51" s="169"/>
      <c r="E51" s="169"/>
      <c r="F51" s="169"/>
      <c r="G51" s="169"/>
      <c r="H51" s="215"/>
      <c r="I51" s="169"/>
      <c r="J51" s="169"/>
      <c r="K51" s="215"/>
      <c r="L51" s="169"/>
      <c r="M51" s="172"/>
      <c r="N51" s="150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</row>
    <row r="52" spans="1:58" ht="12">
      <c r="A52" s="245" t="s">
        <v>105</v>
      </c>
      <c r="B52" s="37">
        <v>2</v>
      </c>
      <c r="C52" s="37">
        <v>1</v>
      </c>
      <c r="D52" s="37">
        <v>0</v>
      </c>
      <c r="E52" s="37">
        <v>1</v>
      </c>
      <c r="F52" s="37">
        <v>0</v>
      </c>
      <c r="G52" s="37">
        <v>0</v>
      </c>
      <c r="H52" s="37">
        <v>219</v>
      </c>
      <c r="I52" s="37">
        <v>0</v>
      </c>
      <c r="J52" s="37">
        <v>0</v>
      </c>
      <c r="K52" s="37"/>
      <c r="L52" s="37"/>
      <c r="M52" s="172">
        <f>SUM(B52:L52)</f>
        <v>223</v>
      </c>
      <c r="N52" s="150"/>
      <c r="O52" s="150"/>
      <c r="P52" s="150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246"/>
      <c r="BC52" s="246"/>
      <c r="BD52" s="246"/>
      <c r="BE52" s="246"/>
      <c r="BF52" s="246"/>
    </row>
    <row r="53" spans="1:58" ht="12">
      <c r="A53" s="245" t="s">
        <v>115</v>
      </c>
      <c r="B53" s="37">
        <v>28</v>
      </c>
      <c r="C53" s="37">
        <v>65</v>
      </c>
      <c r="D53" s="37">
        <v>58</v>
      </c>
      <c r="E53" s="37">
        <v>304</v>
      </c>
      <c r="F53" s="37">
        <v>52</v>
      </c>
      <c r="G53" s="37">
        <v>315</v>
      </c>
      <c r="H53" s="37">
        <v>95</v>
      </c>
      <c r="I53" s="37">
        <v>36</v>
      </c>
      <c r="J53" s="37">
        <v>522</v>
      </c>
      <c r="K53" s="37">
        <v>50</v>
      </c>
      <c r="L53" s="37">
        <v>115</v>
      </c>
      <c r="M53" s="172">
        <f>SUM(B53:L53)</f>
        <v>1640</v>
      </c>
      <c r="N53" s="150"/>
      <c r="O53" s="150"/>
      <c r="P53" s="150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  <c r="BB53" s="246"/>
      <c r="BC53" s="246"/>
      <c r="BD53" s="246"/>
      <c r="BE53" s="246"/>
      <c r="BF53" s="246"/>
    </row>
    <row r="54" spans="1:58" ht="12">
      <c r="A54" s="245" t="s">
        <v>107</v>
      </c>
      <c r="B54" s="217">
        <f aca="true" t="shared" si="13" ref="B54:M54">+B52+B53</f>
        <v>30</v>
      </c>
      <c r="C54" s="217">
        <f t="shared" si="13"/>
        <v>66</v>
      </c>
      <c r="D54" s="217">
        <f t="shared" si="13"/>
        <v>58</v>
      </c>
      <c r="E54" s="217">
        <f t="shared" si="13"/>
        <v>305</v>
      </c>
      <c r="F54" s="217">
        <f t="shared" si="13"/>
        <v>52</v>
      </c>
      <c r="G54" s="217">
        <f t="shared" si="13"/>
        <v>315</v>
      </c>
      <c r="H54" s="217">
        <f t="shared" si="13"/>
        <v>314</v>
      </c>
      <c r="I54" s="217">
        <f t="shared" si="13"/>
        <v>36</v>
      </c>
      <c r="J54" s="217">
        <f t="shared" si="13"/>
        <v>522</v>
      </c>
      <c r="K54" s="217">
        <f t="shared" si="13"/>
        <v>50</v>
      </c>
      <c r="L54" s="217">
        <f t="shared" si="13"/>
        <v>115</v>
      </c>
      <c r="M54" s="217">
        <f t="shared" si="13"/>
        <v>1863</v>
      </c>
      <c r="N54" s="158"/>
      <c r="O54" s="150"/>
      <c r="P54" s="150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</row>
    <row r="55" spans="1:58" s="250" customFormat="1" ht="12">
      <c r="A55" s="244" t="s">
        <v>109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72"/>
      <c r="N55" s="164"/>
      <c r="O55" s="150"/>
      <c r="P55" s="150"/>
      <c r="Q55" s="249"/>
      <c r="R55" s="249"/>
      <c r="S55" s="249"/>
      <c r="T55" s="249"/>
      <c r="U55" s="249"/>
      <c r="V55" s="249"/>
      <c r="W55" s="249"/>
      <c r="X55" s="249"/>
      <c r="Y55" s="249"/>
      <c r="Z55" s="249"/>
      <c r="AA55" s="249"/>
      <c r="AB55" s="249"/>
      <c r="AC55" s="249"/>
      <c r="AD55" s="249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249"/>
      <c r="AU55" s="249"/>
      <c r="AV55" s="249"/>
      <c r="AW55" s="249"/>
      <c r="AX55" s="249"/>
      <c r="AY55" s="249"/>
      <c r="AZ55" s="249"/>
      <c r="BA55" s="249"/>
      <c r="BB55" s="249"/>
      <c r="BC55" s="249"/>
      <c r="BD55" s="249"/>
      <c r="BE55" s="249"/>
      <c r="BF55" s="249"/>
    </row>
    <row r="56" spans="1:58" ht="13.5" customHeight="1">
      <c r="A56" s="245" t="s">
        <v>105</v>
      </c>
      <c r="B56" s="37">
        <v>847</v>
      </c>
      <c r="C56" s="37">
        <v>2222</v>
      </c>
      <c r="D56" s="37">
        <v>628</v>
      </c>
      <c r="E56" s="37">
        <v>514</v>
      </c>
      <c r="F56" s="37">
        <v>1356</v>
      </c>
      <c r="G56" s="37">
        <v>4554</v>
      </c>
      <c r="H56" s="37">
        <v>1489</v>
      </c>
      <c r="I56" s="37">
        <v>1814</v>
      </c>
      <c r="J56" s="37">
        <v>2423</v>
      </c>
      <c r="K56" s="37">
        <v>1367</v>
      </c>
      <c r="L56" s="37">
        <v>2086</v>
      </c>
      <c r="M56" s="172">
        <f>SUM(B56:L56)</f>
        <v>19300</v>
      </c>
      <c r="N56" s="167"/>
      <c r="O56" s="167"/>
      <c r="P56" s="167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  <c r="BA56" s="246"/>
      <c r="BB56" s="246"/>
      <c r="BC56" s="246"/>
      <c r="BD56" s="246"/>
      <c r="BE56" s="246"/>
      <c r="BF56" s="246"/>
    </row>
    <row r="57" spans="1:30" ht="12">
      <c r="A57" s="245" t="s">
        <v>115</v>
      </c>
      <c r="B57" s="37">
        <v>149</v>
      </c>
      <c r="C57" s="37">
        <v>795</v>
      </c>
      <c r="D57" s="37">
        <v>178</v>
      </c>
      <c r="E57" s="37">
        <v>246</v>
      </c>
      <c r="F57" s="37">
        <v>487</v>
      </c>
      <c r="G57" s="37">
        <v>1315</v>
      </c>
      <c r="H57" s="37">
        <v>655</v>
      </c>
      <c r="I57" s="37">
        <v>268</v>
      </c>
      <c r="J57" s="37">
        <v>791</v>
      </c>
      <c r="K57" s="37">
        <v>389</v>
      </c>
      <c r="L57" s="37">
        <v>484</v>
      </c>
      <c r="M57" s="172">
        <f>SUM(B57:L57)</f>
        <v>5757</v>
      </c>
      <c r="N57" s="167"/>
      <c r="O57" s="167"/>
      <c r="P57" s="167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</row>
    <row r="58" spans="1:58" ht="12">
      <c r="A58" s="245" t="s">
        <v>107</v>
      </c>
      <c r="B58" s="217">
        <f aca="true" t="shared" si="14" ref="B58:M58">+B56+B57</f>
        <v>996</v>
      </c>
      <c r="C58" s="217">
        <f t="shared" si="14"/>
        <v>3017</v>
      </c>
      <c r="D58" s="217">
        <f t="shared" si="14"/>
        <v>806</v>
      </c>
      <c r="E58" s="217">
        <f t="shared" si="14"/>
        <v>760</v>
      </c>
      <c r="F58" s="217">
        <f t="shared" si="14"/>
        <v>1843</v>
      </c>
      <c r="G58" s="217">
        <f t="shared" si="14"/>
        <v>5869</v>
      </c>
      <c r="H58" s="217">
        <f>+H56+H57</f>
        <v>2144</v>
      </c>
      <c r="I58" s="217">
        <f t="shared" si="14"/>
        <v>2082</v>
      </c>
      <c r="J58" s="217">
        <f t="shared" si="14"/>
        <v>3214</v>
      </c>
      <c r="K58" s="217">
        <f t="shared" si="14"/>
        <v>1756</v>
      </c>
      <c r="L58" s="217">
        <f t="shared" si="14"/>
        <v>2570</v>
      </c>
      <c r="M58" s="217">
        <f t="shared" si="14"/>
        <v>25057</v>
      </c>
      <c r="N58" s="158"/>
      <c r="O58" s="150"/>
      <c r="P58" s="150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6"/>
      <c r="BF58" s="246"/>
    </row>
    <row r="59" spans="1:30" ht="24">
      <c r="A59" s="244" t="s">
        <v>117</v>
      </c>
      <c r="B59" s="169"/>
      <c r="C59" s="215"/>
      <c r="D59" s="215"/>
      <c r="E59" s="215"/>
      <c r="F59" s="169"/>
      <c r="G59" s="169"/>
      <c r="H59" s="169"/>
      <c r="I59" s="169"/>
      <c r="J59" s="172"/>
      <c r="K59" s="215"/>
      <c r="L59" s="172"/>
      <c r="M59" s="172"/>
      <c r="N59" s="171"/>
      <c r="O59" s="171"/>
      <c r="P59" s="171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</row>
    <row r="60" spans="1:30" ht="12">
      <c r="A60" s="245" t="s">
        <v>105</v>
      </c>
      <c r="B60" s="37">
        <v>129</v>
      </c>
      <c r="C60" s="37">
        <v>965</v>
      </c>
      <c r="D60" s="37">
        <v>330</v>
      </c>
      <c r="E60" s="37">
        <v>0</v>
      </c>
      <c r="F60" s="37">
        <v>588</v>
      </c>
      <c r="G60" s="37">
        <v>1835</v>
      </c>
      <c r="H60" s="37">
        <v>630</v>
      </c>
      <c r="I60" s="37">
        <v>111</v>
      </c>
      <c r="J60" s="37">
        <v>1020</v>
      </c>
      <c r="K60" s="37">
        <v>495</v>
      </c>
      <c r="L60" s="37">
        <v>882</v>
      </c>
      <c r="M60" s="172">
        <f>SUM(B60:L60)</f>
        <v>6985</v>
      </c>
      <c r="N60" s="150"/>
      <c r="O60" s="150"/>
      <c r="P60" s="150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</row>
    <row r="61" spans="1:30" ht="12">
      <c r="A61" s="245" t="s">
        <v>115</v>
      </c>
      <c r="B61" s="37">
        <v>19</v>
      </c>
      <c r="C61" s="37">
        <v>130</v>
      </c>
      <c r="D61" s="37">
        <v>50</v>
      </c>
      <c r="E61" s="37">
        <v>6</v>
      </c>
      <c r="F61" s="37">
        <v>164</v>
      </c>
      <c r="G61" s="37">
        <v>512</v>
      </c>
      <c r="H61" s="37">
        <v>143</v>
      </c>
      <c r="I61" s="37">
        <v>6</v>
      </c>
      <c r="J61" s="37">
        <v>329</v>
      </c>
      <c r="K61" s="37">
        <v>75</v>
      </c>
      <c r="L61" s="37">
        <v>210</v>
      </c>
      <c r="M61" s="172">
        <f>SUM(B61:L61)</f>
        <v>1644</v>
      </c>
      <c r="N61" s="164"/>
      <c r="O61" s="164"/>
      <c r="P61" s="164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</row>
    <row r="62" spans="1:58" ht="12">
      <c r="A62" s="245" t="s">
        <v>107</v>
      </c>
      <c r="B62" s="217">
        <f aca="true" t="shared" si="15" ref="B62:H62">+B60+B61</f>
        <v>148</v>
      </c>
      <c r="C62" s="217">
        <f t="shared" si="15"/>
        <v>1095</v>
      </c>
      <c r="D62" s="217">
        <f t="shared" si="15"/>
        <v>380</v>
      </c>
      <c r="E62" s="217">
        <f t="shared" si="15"/>
        <v>6</v>
      </c>
      <c r="F62" s="217">
        <f t="shared" si="15"/>
        <v>752</v>
      </c>
      <c r="G62" s="217">
        <f t="shared" si="15"/>
        <v>2347</v>
      </c>
      <c r="H62" s="217">
        <f t="shared" si="15"/>
        <v>773</v>
      </c>
      <c r="I62" s="217">
        <f>+I60+I61</f>
        <v>117</v>
      </c>
      <c r="J62" s="217">
        <f>+J60+J61</f>
        <v>1349</v>
      </c>
      <c r="K62" s="217">
        <f>+K60+K61</f>
        <v>570</v>
      </c>
      <c r="L62" s="217">
        <f>+L60+L61</f>
        <v>1092</v>
      </c>
      <c r="M62" s="217">
        <f>+M60+M61</f>
        <v>8629</v>
      </c>
      <c r="N62" s="158"/>
      <c r="O62" s="150"/>
      <c r="P62" s="150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  <c r="AM62" s="246"/>
      <c r="AN62" s="246"/>
      <c r="AO62" s="246"/>
      <c r="AP62" s="246"/>
      <c r="AQ62" s="246"/>
      <c r="AR62" s="246"/>
      <c r="AS62" s="246"/>
      <c r="AT62" s="246"/>
      <c r="AU62" s="246"/>
      <c r="AV62" s="246"/>
      <c r="AW62" s="246"/>
      <c r="AX62" s="246"/>
      <c r="AY62" s="246"/>
      <c r="AZ62" s="246"/>
      <c r="BA62" s="246"/>
      <c r="BB62" s="246"/>
      <c r="BC62" s="246"/>
      <c r="BD62" s="246"/>
      <c r="BE62" s="246"/>
      <c r="BF62" s="246"/>
    </row>
    <row r="63" spans="1:30" ht="12">
      <c r="A63" s="244" t="s">
        <v>111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72"/>
      <c r="N63" s="163"/>
      <c r="O63" s="163"/>
      <c r="P63" s="163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</row>
    <row r="64" spans="1:30" ht="12">
      <c r="A64" s="245" t="s">
        <v>105</v>
      </c>
      <c r="B64" s="37">
        <v>425</v>
      </c>
      <c r="C64" s="37"/>
      <c r="D64" s="37">
        <v>1299</v>
      </c>
      <c r="E64" s="37">
        <v>3188</v>
      </c>
      <c r="F64" s="37">
        <v>574</v>
      </c>
      <c r="G64" s="37">
        <v>5</v>
      </c>
      <c r="H64" s="37"/>
      <c r="I64" s="37">
        <v>1383</v>
      </c>
      <c r="J64" s="37">
        <v>755</v>
      </c>
      <c r="K64" s="37"/>
      <c r="L64" s="37"/>
      <c r="M64" s="172">
        <f>SUM(B64:L64)</f>
        <v>7629</v>
      </c>
      <c r="N64" s="177"/>
      <c r="O64" s="177"/>
      <c r="P64" s="177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</row>
    <row r="65" spans="1:30" ht="12">
      <c r="A65" s="245" t="s">
        <v>115</v>
      </c>
      <c r="B65" s="37">
        <v>262</v>
      </c>
      <c r="C65" s="37"/>
      <c r="D65" s="37">
        <v>427</v>
      </c>
      <c r="E65" s="37">
        <v>922</v>
      </c>
      <c r="F65" s="37">
        <v>276</v>
      </c>
      <c r="G65" s="37">
        <v>0</v>
      </c>
      <c r="H65" s="37"/>
      <c r="I65" s="37">
        <v>356</v>
      </c>
      <c r="J65" s="37">
        <v>2</v>
      </c>
      <c r="K65" s="37"/>
      <c r="L65" s="37"/>
      <c r="M65" s="172">
        <f>SUM(B65:L65)</f>
        <v>2245</v>
      </c>
      <c r="N65" s="150"/>
      <c r="O65" s="150"/>
      <c r="P65" s="150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</row>
    <row r="66" spans="1:58" ht="12">
      <c r="A66" s="245" t="s">
        <v>107</v>
      </c>
      <c r="B66" s="217">
        <f aca="true" t="shared" si="16" ref="B66:M66">+B64+B65</f>
        <v>687</v>
      </c>
      <c r="C66" s="217">
        <f t="shared" si="16"/>
        <v>0</v>
      </c>
      <c r="D66" s="217">
        <f t="shared" si="16"/>
        <v>1726</v>
      </c>
      <c r="E66" s="217">
        <f t="shared" si="16"/>
        <v>4110</v>
      </c>
      <c r="F66" s="217">
        <f t="shared" si="16"/>
        <v>850</v>
      </c>
      <c r="G66" s="217">
        <f t="shared" si="16"/>
        <v>5</v>
      </c>
      <c r="H66" s="217">
        <f t="shared" si="16"/>
        <v>0</v>
      </c>
      <c r="I66" s="217">
        <f t="shared" si="16"/>
        <v>1739</v>
      </c>
      <c r="J66" s="217">
        <f t="shared" si="16"/>
        <v>757</v>
      </c>
      <c r="K66" s="217">
        <f t="shared" si="16"/>
        <v>0</v>
      </c>
      <c r="L66" s="217">
        <f t="shared" si="16"/>
        <v>0</v>
      </c>
      <c r="M66" s="217">
        <f t="shared" si="16"/>
        <v>9874</v>
      </c>
      <c r="N66" s="158"/>
      <c r="O66" s="150"/>
      <c r="P66" s="150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  <c r="AM66" s="246"/>
      <c r="AN66" s="246"/>
      <c r="AO66" s="246"/>
      <c r="AP66" s="246"/>
      <c r="AQ66" s="246"/>
      <c r="AR66" s="246"/>
      <c r="AS66" s="246"/>
      <c r="AT66" s="246"/>
      <c r="AU66" s="246"/>
      <c r="AV66" s="246"/>
      <c r="AW66" s="246"/>
      <c r="AX66" s="246"/>
      <c r="AY66" s="246"/>
      <c r="AZ66" s="246"/>
      <c r="BA66" s="246"/>
      <c r="BB66" s="246"/>
      <c r="BC66" s="246"/>
      <c r="BD66" s="246"/>
      <c r="BE66" s="246"/>
      <c r="BF66" s="246"/>
    </row>
    <row r="67" spans="1:30" ht="12">
      <c r="A67" s="244" t="s">
        <v>112</v>
      </c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51"/>
      <c r="N67" s="150"/>
      <c r="O67" s="150"/>
      <c r="P67" s="150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</row>
    <row r="68" spans="1:16" ht="12">
      <c r="A68" s="245" t="s">
        <v>105</v>
      </c>
      <c r="B68" s="223">
        <f>+B64+B60+B56+B52</f>
        <v>1403</v>
      </c>
      <c r="C68" s="223">
        <f aca="true" t="shared" si="17" ref="C68:M68">+C64+C60+C56+C52</f>
        <v>3188</v>
      </c>
      <c r="D68" s="223">
        <f t="shared" si="17"/>
        <v>2257</v>
      </c>
      <c r="E68" s="223">
        <f t="shared" si="17"/>
        <v>3703</v>
      </c>
      <c r="F68" s="223">
        <f t="shared" si="17"/>
        <v>2518</v>
      </c>
      <c r="G68" s="223">
        <f t="shared" si="17"/>
        <v>6394</v>
      </c>
      <c r="H68" s="223">
        <f t="shared" si="17"/>
        <v>2338</v>
      </c>
      <c r="I68" s="223">
        <f t="shared" si="17"/>
        <v>3308</v>
      </c>
      <c r="J68" s="223">
        <f t="shared" si="17"/>
        <v>4198</v>
      </c>
      <c r="K68" s="223">
        <f t="shared" si="17"/>
        <v>1862</v>
      </c>
      <c r="L68" s="223">
        <f t="shared" si="17"/>
        <v>2968</v>
      </c>
      <c r="M68" s="223">
        <f t="shared" si="17"/>
        <v>34137</v>
      </c>
      <c r="N68" s="181"/>
      <c r="O68" s="181"/>
      <c r="P68" s="181"/>
    </row>
    <row r="69" spans="1:16" ht="12">
      <c r="A69" s="245" t="s">
        <v>115</v>
      </c>
      <c r="B69" s="223">
        <f aca="true" t="shared" si="18" ref="B69:M69">+B65+B61+B57+B53</f>
        <v>458</v>
      </c>
      <c r="C69" s="223">
        <f t="shared" si="18"/>
        <v>990</v>
      </c>
      <c r="D69" s="223">
        <f t="shared" si="18"/>
        <v>713</v>
      </c>
      <c r="E69" s="223">
        <f t="shared" si="18"/>
        <v>1478</v>
      </c>
      <c r="F69" s="223">
        <f t="shared" si="18"/>
        <v>979</v>
      </c>
      <c r="G69" s="223">
        <f t="shared" si="18"/>
        <v>2142</v>
      </c>
      <c r="H69" s="223">
        <f t="shared" si="18"/>
        <v>893</v>
      </c>
      <c r="I69" s="223">
        <f t="shared" si="18"/>
        <v>666</v>
      </c>
      <c r="J69" s="223">
        <f t="shared" si="18"/>
        <v>1644</v>
      </c>
      <c r="K69" s="223">
        <f t="shared" si="18"/>
        <v>514</v>
      </c>
      <c r="L69" s="223">
        <f t="shared" si="18"/>
        <v>809</v>
      </c>
      <c r="M69" s="223">
        <f t="shared" si="18"/>
        <v>11286</v>
      </c>
      <c r="N69" s="181"/>
      <c r="O69" s="181"/>
      <c r="P69" s="181"/>
    </row>
    <row r="70" spans="1:58" ht="12">
      <c r="A70" s="255" t="s">
        <v>107</v>
      </c>
      <c r="B70" s="221">
        <f aca="true" t="shared" si="19" ref="B70:M70">+B68+B69</f>
        <v>1861</v>
      </c>
      <c r="C70" s="221">
        <f>+C68+C69</f>
        <v>4178</v>
      </c>
      <c r="D70" s="221">
        <f t="shared" si="19"/>
        <v>2970</v>
      </c>
      <c r="E70" s="221">
        <f t="shared" si="19"/>
        <v>5181</v>
      </c>
      <c r="F70" s="221">
        <f t="shared" si="19"/>
        <v>3497</v>
      </c>
      <c r="G70" s="221">
        <f t="shared" si="19"/>
        <v>8536</v>
      </c>
      <c r="H70" s="221">
        <f t="shared" si="19"/>
        <v>3231</v>
      </c>
      <c r="I70" s="221">
        <f t="shared" si="19"/>
        <v>3974</v>
      </c>
      <c r="J70" s="221">
        <f t="shared" si="19"/>
        <v>5842</v>
      </c>
      <c r="K70" s="221">
        <f t="shared" si="19"/>
        <v>2376</v>
      </c>
      <c r="L70" s="221">
        <f t="shared" si="19"/>
        <v>3777</v>
      </c>
      <c r="M70" s="221">
        <f t="shared" si="19"/>
        <v>45423</v>
      </c>
      <c r="N70" s="158"/>
      <c r="O70" s="150"/>
      <c r="P70" s="150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246"/>
      <c r="AM70" s="246"/>
      <c r="AN70" s="246"/>
      <c r="AO70" s="246"/>
      <c r="AP70" s="246"/>
      <c r="AQ70" s="246"/>
      <c r="AR70" s="246"/>
      <c r="AS70" s="246"/>
      <c r="AT70" s="246"/>
      <c r="AU70" s="246"/>
      <c r="AV70" s="246"/>
      <c r="AW70" s="246"/>
      <c r="AX70" s="246"/>
      <c r="AY70" s="246"/>
      <c r="AZ70" s="246"/>
      <c r="BA70" s="246"/>
      <c r="BB70" s="246"/>
      <c r="BC70" s="246"/>
      <c r="BD70" s="246"/>
      <c r="BE70" s="246"/>
      <c r="BF70" s="246"/>
    </row>
    <row r="71" spans="1:58" ht="12">
      <c r="A71" s="73" t="s">
        <v>147</v>
      </c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158"/>
      <c r="O71" s="150"/>
      <c r="P71" s="150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246"/>
      <c r="AG71" s="246"/>
      <c r="AH71" s="246"/>
      <c r="AI71" s="246"/>
      <c r="AJ71" s="246"/>
      <c r="AK71" s="246"/>
      <c r="AL71" s="246"/>
      <c r="AM71" s="246"/>
      <c r="AN71" s="246"/>
      <c r="AO71" s="246"/>
      <c r="AP71" s="246"/>
      <c r="AQ71" s="246"/>
      <c r="AR71" s="246"/>
      <c r="AS71" s="246"/>
      <c r="AT71" s="246"/>
      <c r="AU71" s="246"/>
      <c r="AV71" s="246"/>
      <c r="AW71" s="246"/>
      <c r="AX71" s="246"/>
      <c r="AY71" s="246"/>
      <c r="AZ71" s="246"/>
      <c r="BA71" s="246"/>
      <c r="BB71" s="246"/>
      <c r="BC71" s="246"/>
      <c r="BD71" s="246"/>
      <c r="BE71" s="246"/>
      <c r="BF71" s="246"/>
    </row>
    <row r="72" spans="1:16" ht="12">
      <c r="A72" s="256" t="s">
        <v>133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4"/>
      <c r="N72" s="187"/>
      <c r="O72" s="187"/>
      <c r="P72" s="187"/>
    </row>
    <row r="73" spans="1:16" ht="12">
      <c r="A73" s="257" t="s">
        <v>66</v>
      </c>
      <c r="B73" s="258"/>
      <c r="C73" s="223"/>
      <c r="D73" s="258"/>
      <c r="E73" s="223"/>
      <c r="F73" s="258"/>
      <c r="G73" s="258"/>
      <c r="H73" s="258"/>
      <c r="I73" s="258"/>
      <c r="J73" s="258"/>
      <c r="K73" s="223"/>
      <c r="L73" s="258"/>
      <c r="M73" s="224"/>
      <c r="N73" s="190"/>
      <c r="O73" s="190"/>
      <c r="P73" s="190"/>
    </row>
    <row r="74" spans="1:16" ht="12">
      <c r="A74" s="259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192"/>
      <c r="O74" s="192"/>
      <c r="P74" s="192"/>
    </row>
    <row r="75" spans="1:16" ht="12">
      <c r="A75" s="260"/>
      <c r="B75" s="200"/>
      <c r="C75" s="225"/>
      <c r="D75" s="225"/>
      <c r="E75" s="225"/>
      <c r="F75" s="200"/>
      <c r="G75" s="200"/>
      <c r="H75" s="200"/>
      <c r="I75" s="200"/>
      <c r="J75" s="200"/>
      <c r="K75" s="225"/>
      <c r="L75" s="200"/>
      <c r="M75" s="224"/>
      <c r="N75" s="200"/>
      <c r="O75" s="200"/>
      <c r="P75" s="200"/>
    </row>
    <row r="76" spans="1:16" ht="12">
      <c r="A76" s="260"/>
      <c r="B76" s="200"/>
      <c r="C76" s="225"/>
      <c r="D76" s="225"/>
      <c r="E76" s="225"/>
      <c r="F76" s="200"/>
      <c r="G76" s="200"/>
      <c r="H76" s="200"/>
      <c r="I76" s="200"/>
      <c r="J76" s="200"/>
      <c r="K76" s="225"/>
      <c r="L76" s="200"/>
      <c r="M76" s="224"/>
      <c r="N76" s="200"/>
      <c r="O76" s="200"/>
      <c r="P76" s="200"/>
    </row>
    <row r="77" spans="1:16" ht="12">
      <c r="A77" s="260"/>
      <c r="B77" s="200"/>
      <c r="C77" s="225"/>
      <c r="D77" s="225"/>
      <c r="E77" s="225"/>
      <c r="F77" s="200"/>
      <c r="G77" s="200"/>
      <c r="H77" s="200"/>
      <c r="I77" s="200"/>
      <c r="J77" s="200"/>
      <c r="K77" s="225"/>
      <c r="L77" s="200"/>
      <c r="M77" s="224"/>
      <c r="N77" s="200"/>
      <c r="O77" s="200"/>
      <c r="P77" s="200"/>
    </row>
    <row r="78" spans="1:16" ht="12">
      <c r="A78" s="260"/>
      <c r="B78" s="200"/>
      <c r="C78" s="225"/>
      <c r="D78" s="225"/>
      <c r="E78" s="225"/>
      <c r="F78" s="200"/>
      <c r="G78" s="200"/>
      <c r="H78" s="200"/>
      <c r="I78" s="200"/>
      <c r="J78" s="200"/>
      <c r="K78" s="225"/>
      <c r="L78" s="200"/>
      <c r="M78" s="224"/>
      <c r="N78" s="200"/>
      <c r="O78" s="200"/>
      <c r="P78" s="200"/>
    </row>
    <row r="79" spans="1:16" ht="12">
      <c r="A79" s="260"/>
      <c r="B79" s="200"/>
      <c r="C79" s="225"/>
      <c r="D79" s="225"/>
      <c r="E79" s="225"/>
      <c r="F79" s="200"/>
      <c r="G79" s="200"/>
      <c r="H79" s="200"/>
      <c r="I79" s="200"/>
      <c r="J79" s="225"/>
      <c r="K79" s="225"/>
      <c r="L79" s="200"/>
      <c r="M79" s="224"/>
      <c r="N79" s="200"/>
      <c r="O79" s="200"/>
      <c r="P79" s="200"/>
    </row>
    <row r="80" spans="1:16" ht="12">
      <c r="A80" s="260"/>
      <c r="B80" s="200"/>
      <c r="C80" s="225"/>
      <c r="D80" s="200"/>
      <c r="E80" s="225"/>
      <c r="F80" s="200"/>
      <c r="G80" s="200"/>
      <c r="H80" s="200"/>
      <c r="I80" s="200"/>
      <c r="J80" s="200"/>
      <c r="K80" s="225"/>
      <c r="L80" s="200"/>
      <c r="M80" s="224"/>
      <c r="N80" s="200"/>
      <c r="O80" s="200"/>
      <c r="P80" s="200"/>
    </row>
    <row r="81" spans="1:16" ht="12">
      <c r="A81" s="264"/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24"/>
      <c r="N81" s="203"/>
      <c r="O81" s="203"/>
      <c r="P81" s="203"/>
    </row>
    <row r="82" spans="1:16" ht="12">
      <c r="A82" s="264"/>
      <c r="B82" s="264"/>
      <c r="C82" s="264"/>
      <c r="D82" s="264"/>
      <c r="E82" s="264"/>
      <c r="F82" s="264"/>
      <c r="G82" s="264"/>
      <c r="H82" s="264"/>
      <c r="I82" s="264"/>
      <c r="J82" s="264"/>
      <c r="K82" s="264"/>
      <c r="L82" s="264"/>
      <c r="M82" s="224"/>
      <c r="N82" s="200"/>
      <c r="O82" s="200"/>
      <c r="P82" s="200"/>
    </row>
    <row r="83" spans="1:16" ht="12">
      <c r="A83" s="164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</row>
    <row r="84" spans="1:16" ht="12">
      <c r="A84" s="262"/>
      <c r="B84" s="226"/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63"/>
      <c r="N84" s="203"/>
      <c r="O84" s="203"/>
      <c r="P84" s="203"/>
    </row>
  </sheetData>
  <sheetProtection/>
  <mergeCells count="1">
    <mergeCell ref="B3:L3"/>
  </mergeCells>
  <printOptions/>
  <pageMargins left="0.5511811023622047" right="0.2362204724409449" top="0.5511811023622047" bottom="0.1968503937007874" header="0.5118110236220472" footer="0.2362204724409449"/>
  <pageSetup fitToHeight="1" fitToWidth="1" orientation="portrait" paperSize="9" scale="68" r:id="rId1"/>
  <headerFooter alignWithMargins="0">
    <oddHeader>&amp;R&amp;F</oddHeader>
    <oddFooter>&amp;LComune di Bologna - Dipartimento Programmazione - Settore Statistica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3"/>
  <sheetViews>
    <sheetView showZeros="0" zoomScale="85" zoomScaleNormal="85" zoomScalePageLayoutView="0" workbookViewId="0" topLeftCell="A1">
      <pane ySplit="7" topLeftCell="A8" activePane="bottomLeft" state="frozen"/>
      <selection pane="topLeft" activeCell="A1" sqref="A1:IV16384"/>
      <selection pane="bottomLeft" activeCell="A1" sqref="A1"/>
    </sheetView>
  </sheetViews>
  <sheetFormatPr defaultColWidth="10.875" defaultRowHeight="12"/>
  <cols>
    <col min="1" max="1" width="30.875" style="138" customWidth="1"/>
    <col min="2" max="3" width="6.125" style="138" bestFit="1" customWidth="1"/>
    <col min="4" max="4" width="7.625" style="138" bestFit="1" customWidth="1"/>
    <col min="5" max="10" width="7.625" style="138" customWidth="1"/>
    <col min="11" max="11" width="9.75390625" style="138" customWidth="1"/>
    <col min="12" max="15" width="7.625" style="138" customWidth="1"/>
    <col min="16" max="16" width="9.875" style="138" customWidth="1"/>
    <col min="17" max="19" width="7.625" style="138" customWidth="1"/>
    <col min="20" max="20" width="9.00390625" style="138" customWidth="1"/>
    <col min="21" max="21" width="8.00390625" style="138" customWidth="1"/>
    <col min="22" max="23" width="9.875" style="138" customWidth="1"/>
    <col min="24" max="16384" width="10.875" style="138" customWidth="1"/>
  </cols>
  <sheetData>
    <row r="1" spans="1:21" s="120" customFormat="1" ht="15" customHeight="1">
      <c r="A1" s="227" t="s">
        <v>116</v>
      </c>
      <c r="B1" s="209"/>
      <c r="C1" s="209"/>
      <c r="D1" s="209"/>
      <c r="E1" s="209"/>
      <c r="F1" s="209"/>
      <c r="G1" s="209"/>
      <c r="H1" s="227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28"/>
      <c r="T1" s="209"/>
      <c r="U1" s="228"/>
    </row>
    <row r="2" spans="1:21" s="131" customFormat="1" ht="15">
      <c r="A2" s="229" t="s">
        <v>131</v>
      </c>
      <c r="B2" s="211"/>
      <c r="C2" s="211"/>
      <c r="D2" s="230"/>
      <c r="E2" s="211"/>
      <c r="F2" s="231"/>
      <c r="G2" s="230"/>
      <c r="H2" s="232"/>
      <c r="I2" s="211"/>
      <c r="J2" s="233"/>
      <c r="K2" s="234" t="s">
        <v>0</v>
      </c>
      <c r="L2" s="211"/>
      <c r="M2" s="211"/>
      <c r="N2" s="211"/>
      <c r="O2" s="211"/>
      <c r="P2" s="211"/>
      <c r="Q2" s="211"/>
      <c r="R2" s="233"/>
      <c r="S2" s="235"/>
      <c r="T2" s="211"/>
      <c r="U2" s="236"/>
    </row>
    <row r="3" spans="1:21" s="135" customFormat="1" ht="12">
      <c r="A3" s="237"/>
      <c r="B3" s="268" t="s">
        <v>2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38" t="s">
        <v>103</v>
      </c>
    </row>
    <row r="4" spans="1:21" ht="12">
      <c r="A4" s="237"/>
      <c r="B4" s="239" t="s">
        <v>14</v>
      </c>
      <c r="C4" s="212" t="s">
        <v>77</v>
      </c>
      <c r="D4" s="212" t="s">
        <v>11</v>
      </c>
      <c r="E4" s="212" t="s">
        <v>17</v>
      </c>
      <c r="F4" s="212" t="s">
        <v>7</v>
      </c>
      <c r="G4" s="239" t="s">
        <v>89</v>
      </c>
      <c r="H4" s="212" t="s">
        <v>5</v>
      </c>
      <c r="I4" s="239" t="s">
        <v>13</v>
      </c>
      <c r="J4" s="212" t="s">
        <v>8</v>
      </c>
      <c r="K4" s="212" t="s">
        <v>15</v>
      </c>
      <c r="L4" s="212" t="s">
        <v>10</v>
      </c>
      <c r="M4" s="212" t="s">
        <v>10</v>
      </c>
      <c r="N4" s="212" t="s">
        <v>16</v>
      </c>
      <c r="O4" s="239" t="s">
        <v>6</v>
      </c>
      <c r="P4" s="212" t="s">
        <v>6</v>
      </c>
      <c r="Q4" s="212" t="s">
        <v>79</v>
      </c>
      <c r="R4" s="212" t="s">
        <v>6</v>
      </c>
      <c r="S4" s="212" t="s">
        <v>6</v>
      </c>
      <c r="T4" s="239" t="s">
        <v>9</v>
      </c>
      <c r="U4" s="239"/>
    </row>
    <row r="5" spans="1:21" ht="12">
      <c r="A5" s="237"/>
      <c r="B5" s="239" t="s">
        <v>31</v>
      </c>
      <c r="C5" s="212" t="s">
        <v>78</v>
      </c>
      <c r="D5" s="212" t="s">
        <v>28</v>
      </c>
      <c r="E5" s="212" t="s">
        <v>35</v>
      </c>
      <c r="F5" s="212" t="s">
        <v>21</v>
      </c>
      <c r="G5" s="212" t="s">
        <v>29</v>
      </c>
      <c r="H5" s="212" t="s">
        <v>19</v>
      </c>
      <c r="I5" s="239" t="s">
        <v>30</v>
      </c>
      <c r="J5" s="212" t="s">
        <v>23</v>
      </c>
      <c r="K5" s="212" t="s">
        <v>33</v>
      </c>
      <c r="L5" s="212" t="s">
        <v>26</v>
      </c>
      <c r="M5" s="212" t="s">
        <v>32</v>
      </c>
      <c r="N5" s="212" t="s">
        <v>34</v>
      </c>
      <c r="O5" s="239" t="s">
        <v>24</v>
      </c>
      <c r="P5" s="212" t="s">
        <v>96</v>
      </c>
      <c r="Q5" s="212" t="s">
        <v>84</v>
      </c>
      <c r="R5" s="212" t="s">
        <v>20</v>
      </c>
      <c r="S5" s="239" t="s">
        <v>22</v>
      </c>
      <c r="T5" s="239" t="s">
        <v>101</v>
      </c>
      <c r="U5" s="239"/>
    </row>
    <row r="6" spans="1:21" ht="12">
      <c r="A6" s="225"/>
      <c r="B6" s="225"/>
      <c r="C6" s="212"/>
      <c r="D6" s="212" t="s">
        <v>44</v>
      </c>
      <c r="E6" s="212" t="s">
        <v>46</v>
      </c>
      <c r="F6" s="239"/>
      <c r="G6" s="225"/>
      <c r="H6" s="212" t="s">
        <v>36</v>
      </c>
      <c r="I6" s="225"/>
      <c r="J6" s="212" t="s">
        <v>39</v>
      </c>
      <c r="K6" s="212" t="s">
        <v>95</v>
      </c>
      <c r="L6" s="212" t="s">
        <v>42</v>
      </c>
      <c r="M6" s="212" t="s">
        <v>45</v>
      </c>
      <c r="N6" s="212"/>
      <c r="O6" s="240" t="s">
        <v>40</v>
      </c>
      <c r="P6" s="212" t="s">
        <v>97</v>
      </c>
      <c r="Q6" s="212" t="s">
        <v>85</v>
      </c>
      <c r="R6" s="212" t="s">
        <v>37</v>
      </c>
      <c r="S6" s="239" t="s">
        <v>38</v>
      </c>
      <c r="T6" s="239" t="s">
        <v>99</v>
      </c>
      <c r="U6" s="239"/>
    </row>
    <row r="7" spans="1:21" s="131" customFormat="1" ht="12">
      <c r="A7" s="241"/>
      <c r="B7" s="242"/>
      <c r="C7" s="213"/>
      <c r="D7" s="242"/>
      <c r="E7" s="213" t="s">
        <v>93</v>
      </c>
      <c r="F7" s="242"/>
      <c r="G7" s="242"/>
      <c r="H7" s="241"/>
      <c r="I7" s="242"/>
      <c r="J7" s="213" t="s">
        <v>47</v>
      </c>
      <c r="K7" s="213" t="s">
        <v>94</v>
      </c>
      <c r="L7" s="213" t="s">
        <v>50</v>
      </c>
      <c r="M7" s="213" t="s">
        <v>51</v>
      </c>
      <c r="N7" s="213"/>
      <c r="O7" s="242" t="s">
        <v>48</v>
      </c>
      <c r="P7" s="213" t="s">
        <v>98</v>
      </c>
      <c r="Q7" s="213"/>
      <c r="R7" s="242"/>
      <c r="S7" s="242"/>
      <c r="T7" s="242" t="s">
        <v>100</v>
      </c>
      <c r="U7" s="242"/>
    </row>
    <row r="8" spans="2:21" s="135" customFormat="1" ht="12">
      <c r="B8" s="214"/>
      <c r="C8" s="214"/>
      <c r="E8" s="214"/>
      <c r="F8" s="214"/>
      <c r="G8" s="214"/>
      <c r="H8" s="214"/>
      <c r="I8" s="214"/>
      <c r="J8" s="218"/>
      <c r="K8" s="214" t="s">
        <v>54</v>
      </c>
      <c r="L8" s="214"/>
      <c r="M8" s="214"/>
      <c r="N8" s="214"/>
      <c r="O8" s="214"/>
      <c r="P8" s="243"/>
      <c r="Q8" s="214"/>
      <c r="R8" s="214"/>
      <c r="S8" s="214"/>
      <c r="T8" s="214"/>
      <c r="U8" s="214"/>
    </row>
    <row r="9" spans="1:66" s="120" customFormat="1" ht="12">
      <c r="A9" s="244" t="s">
        <v>104</v>
      </c>
      <c r="B9" s="215"/>
      <c r="C9" s="215"/>
      <c r="D9" s="169"/>
      <c r="E9" s="169"/>
      <c r="F9" s="169"/>
      <c r="G9" s="169"/>
      <c r="H9" s="215"/>
      <c r="I9" s="169"/>
      <c r="J9" s="169"/>
      <c r="K9" s="215"/>
      <c r="L9" s="169"/>
      <c r="M9" s="169"/>
      <c r="N9" s="169"/>
      <c r="O9" s="169"/>
      <c r="P9" s="169"/>
      <c r="Q9" s="169"/>
      <c r="R9" s="215"/>
      <c r="S9" s="215"/>
      <c r="T9" s="215"/>
      <c r="U9" s="172"/>
      <c r="V9" s="150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</row>
    <row r="10" spans="1:66" ht="12">
      <c r="A10" s="245" t="s">
        <v>105</v>
      </c>
      <c r="B10" s="215">
        <f aca="true" t="shared" si="0" ref="B10:T10">+B31+B52</f>
        <v>0</v>
      </c>
      <c r="C10" s="215">
        <f t="shared" si="0"/>
        <v>0</v>
      </c>
      <c r="D10" s="215">
        <f t="shared" si="0"/>
        <v>0</v>
      </c>
      <c r="E10" s="215">
        <f t="shared" si="0"/>
        <v>0</v>
      </c>
      <c r="F10" s="215">
        <f t="shared" si="0"/>
        <v>1</v>
      </c>
      <c r="G10" s="215">
        <f t="shared" si="0"/>
        <v>4</v>
      </c>
      <c r="H10" s="215">
        <f t="shared" si="0"/>
        <v>3</v>
      </c>
      <c r="I10" s="215">
        <f t="shared" si="0"/>
        <v>1</v>
      </c>
      <c r="J10" s="215">
        <f t="shared" si="0"/>
        <v>1</v>
      </c>
      <c r="K10" s="215">
        <f t="shared" si="0"/>
        <v>0</v>
      </c>
      <c r="L10" s="215">
        <f t="shared" si="0"/>
        <v>2</v>
      </c>
      <c r="M10" s="215">
        <f t="shared" si="0"/>
        <v>0</v>
      </c>
      <c r="N10" s="215">
        <f t="shared" si="0"/>
        <v>0</v>
      </c>
      <c r="O10" s="215">
        <f t="shared" si="0"/>
        <v>349</v>
      </c>
      <c r="P10" s="215">
        <f t="shared" si="0"/>
        <v>0</v>
      </c>
      <c r="Q10" s="215">
        <f t="shared" si="0"/>
        <v>0</v>
      </c>
      <c r="R10" s="215">
        <f t="shared" si="0"/>
        <v>1</v>
      </c>
      <c r="S10" s="215">
        <f t="shared" si="0"/>
        <v>0</v>
      </c>
      <c r="T10" s="215">
        <f t="shared" si="0"/>
        <v>0</v>
      </c>
      <c r="U10" s="172">
        <f>SUM(B10:T10)</f>
        <v>362</v>
      </c>
      <c r="V10" s="150"/>
      <c r="W10" s="150"/>
      <c r="X10" s="150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6"/>
    </row>
    <row r="11" spans="1:66" ht="12">
      <c r="A11" s="245" t="s">
        <v>115</v>
      </c>
      <c r="B11" s="215">
        <f aca="true" t="shared" si="1" ref="B11:T11">+B32+B53</f>
        <v>33</v>
      </c>
      <c r="C11" s="215">
        <f t="shared" si="1"/>
        <v>0</v>
      </c>
      <c r="D11" s="215">
        <f t="shared" si="1"/>
        <v>7</v>
      </c>
      <c r="E11" s="215">
        <f t="shared" si="1"/>
        <v>67</v>
      </c>
      <c r="F11" s="215">
        <f t="shared" si="1"/>
        <v>152</v>
      </c>
      <c r="G11" s="215">
        <f t="shared" si="1"/>
        <v>73</v>
      </c>
      <c r="H11" s="215">
        <f t="shared" si="1"/>
        <v>618</v>
      </c>
      <c r="I11" s="215">
        <f t="shared" si="1"/>
        <v>351</v>
      </c>
      <c r="J11" s="215">
        <f t="shared" si="1"/>
        <v>548</v>
      </c>
      <c r="K11" s="215">
        <f t="shared" si="1"/>
        <v>89</v>
      </c>
      <c r="L11" s="215">
        <f t="shared" si="1"/>
        <v>97</v>
      </c>
      <c r="M11" s="215">
        <f t="shared" si="1"/>
        <v>32</v>
      </c>
      <c r="N11" s="215">
        <f t="shared" si="1"/>
        <v>53</v>
      </c>
      <c r="O11" s="215">
        <f t="shared" si="1"/>
        <v>657</v>
      </c>
      <c r="P11" s="215">
        <f t="shared" si="1"/>
        <v>136</v>
      </c>
      <c r="Q11" s="215">
        <f t="shared" si="1"/>
        <v>42</v>
      </c>
      <c r="R11" s="215">
        <f t="shared" si="1"/>
        <v>260</v>
      </c>
      <c r="S11" s="215">
        <f t="shared" si="1"/>
        <v>14</v>
      </c>
      <c r="T11" s="215">
        <f t="shared" si="1"/>
        <v>4</v>
      </c>
      <c r="U11" s="172">
        <f>SUM(B11:T11)</f>
        <v>3233</v>
      </c>
      <c r="V11" s="150"/>
      <c r="W11" s="150"/>
      <c r="X11" s="150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</row>
    <row r="12" spans="1:66" ht="12">
      <c r="A12" s="245" t="s">
        <v>107</v>
      </c>
      <c r="B12" s="215">
        <f aca="true" t="shared" si="2" ref="B12:T12">+B33+B54</f>
        <v>33</v>
      </c>
      <c r="C12" s="215">
        <f t="shared" si="2"/>
        <v>0</v>
      </c>
      <c r="D12" s="215">
        <f t="shared" si="2"/>
        <v>7</v>
      </c>
      <c r="E12" s="215">
        <f t="shared" si="2"/>
        <v>67</v>
      </c>
      <c r="F12" s="215">
        <f t="shared" si="2"/>
        <v>153</v>
      </c>
      <c r="G12" s="215">
        <f t="shared" si="2"/>
        <v>77</v>
      </c>
      <c r="H12" s="215">
        <f t="shared" si="2"/>
        <v>621</v>
      </c>
      <c r="I12" s="215">
        <f t="shared" si="2"/>
        <v>352</v>
      </c>
      <c r="J12" s="215">
        <f t="shared" si="2"/>
        <v>549</v>
      </c>
      <c r="K12" s="215">
        <f t="shared" si="2"/>
        <v>89</v>
      </c>
      <c r="L12" s="215">
        <f t="shared" si="2"/>
        <v>99</v>
      </c>
      <c r="M12" s="215">
        <f t="shared" si="2"/>
        <v>32</v>
      </c>
      <c r="N12" s="215">
        <f t="shared" si="2"/>
        <v>53</v>
      </c>
      <c r="O12" s="215">
        <f t="shared" si="2"/>
        <v>1006</v>
      </c>
      <c r="P12" s="215">
        <f t="shared" si="2"/>
        <v>136</v>
      </c>
      <c r="Q12" s="215">
        <f t="shared" si="2"/>
        <v>42</v>
      </c>
      <c r="R12" s="215">
        <f t="shared" si="2"/>
        <v>261</v>
      </c>
      <c r="S12" s="215">
        <f t="shared" si="2"/>
        <v>14</v>
      </c>
      <c r="T12" s="215">
        <f t="shared" si="2"/>
        <v>4</v>
      </c>
      <c r="U12" s="217">
        <f>+U10+U11</f>
        <v>3595</v>
      </c>
      <c r="V12" s="158"/>
      <c r="W12" s="150"/>
      <c r="X12" s="150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</row>
    <row r="13" spans="1:66" s="250" customFormat="1" ht="12">
      <c r="A13" s="244" t="s">
        <v>109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9"/>
      <c r="S13" s="163"/>
      <c r="T13" s="163"/>
      <c r="U13" s="172"/>
      <c r="V13" s="164"/>
      <c r="W13" s="150"/>
      <c r="X13" s="150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</row>
    <row r="14" spans="1:66" ht="13.5" customHeight="1">
      <c r="A14" s="245" t="s">
        <v>105</v>
      </c>
      <c r="B14" s="215">
        <f aca="true" t="shared" si="3" ref="B14:T14">+B35+B56</f>
        <v>1420</v>
      </c>
      <c r="C14" s="215">
        <f t="shared" si="3"/>
        <v>128</v>
      </c>
      <c r="D14" s="215">
        <f t="shared" si="3"/>
        <v>540</v>
      </c>
      <c r="E14" s="215">
        <f t="shared" si="3"/>
        <v>371</v>
      </c>
      <c r="F14" s="215">
        <f t="shared" si="3"/>
        <v>3961</v>
      </c>
      <c r="G14" s="215">
        <f t="shared" si="3"/>
        <v>623</v>
      </c>
      <c r="H14" s="215">
        <f t="shared" si="3"/>
        <v>793</v>
      </c>
      <c r="I14" s="215">
        <f t="shared" si="3"/>
        <v>5133</v>
      </c>
      <c r="J14" s="215">
        <f t="shared" si="3"/>
        <v>6452</v>
      </c>
      <c r="K14" s="215">
        <f t="shared" si="3"/>
        <v>1596</v>
      </c>
      <c r="L14" s="215">
        <f t="shared" si="3"/>
        <v>2521</v>
      </c>
      <c r="M14" s="215">
        <f t="shared" si="3"/>
        <v>86</v>
      </c>
      <c r="N14" s="215">
        <f t="shared" si="3"/>
        <v>804</v>
      </c>
      <c r="O14" s="215">
        <f t="shared" si="3"/>
        <v>2036</v>
      </c>
      <c r="P14" s="215">
        <f t="shared" si="3"/>
        <v>3047</v>
      </c>
      <c r="Q14" s="215">
        <f t="shared" si="3"/>
        <v>1150</v>
      </c>
      <c r="R14" s="215">
        <f t="shared" si="3"/>
        <v>3498</v>
      </c>
      <c r="S14" s="215">
        <f t="shared" si="3"/>
        <v>768</v>
      </c>
      <c r="T14" s="215">
        <f t="shared" si="3"/>
        <v>533</v>
      </c>
      <c r="U14" s="172">
        <f>SUM(B14:T14)</f>
        <v>35460</v>
      </c>
      <c r="V14" s="167"/>
      <c r="W14" s="167"/>
      <c r="X14" s="167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</row>
    <row r="15" spans="1:38" ht="12">
      <c r="A15" s="245" t="s">
        <v>115</v>
      </c>
      <c r="B15" s="215">
        <f aca="true" t="shared" si="4" ref="B15:T15">+B36+B57</f>
        <v>386</v>
      </c>
      <c r="C15" s="215">
        <f t="shared" si="4"/>
        <v>28</v>
      </c>
      <c r="D15" s="215">
        <f t="shared" si="4"/>
        <v>70</v>
      </c>
      <c r="E15" s="215">
        <f t="shared" si="4"/>
        <v>203</v>
      </c>
      <c r="F15" s="215">
        <f t="shared" si="4"/>
        <v>1822</v>
      </c>
      <c r="G15" s="215">
        <f t="shared" si="4"/>
        <v>158</v>
      </c>
      <c r="H15" s="215">
        <f t="shared" si="4"/>
        <v>451</v>
      </c>
      <c r="I15" s="215">
        <f t="shared" si="4"/>
        <v>2236</v>
      </c>
      <c r="J15" s="215">
        <f t="shared" si="4"/>
        <v>2137</v>
      </c>
      <c r="K15" s="215">
        <f t="shared" si="4"/>
        <v>790</v>
      </c>
      <c r="L15" s="215">
        <f t="shared" si="4"/>
        <v>592</v>
      </c>
      <c r="M15" s="215">
        <f t="shared" si="4"/>
        <v>29</v>
      </c>
      <c r="N15" s="215">
        <f t="shared" si="4"/>
        <v>217</v>
      </c>
      <c r="O15" s="215">
        <f t="shared" si="4"/>
        <v>838</v>
      </c>
      <c r="P15" s="215">
        <f t="shared" si="4"/>
        <v>1115</v>
      </c>
      <c r="Q15" s="215">
        <f t="shared" si="4"/>
        <v>113</v>
      </c>
      <c r="R15" s="215">
        <f t="shared" si="4"/>
        <v>1037</v>
      </c>
      <c r="S15" s="215">
        <f t="shared" si="4"/>
        <v>90</v>
      </c>
      <c r="T15" s="215">
        <f t="shared" si="4"/>
        <v>25</v>
      </c>
      <c r="U15" s="172">
        <f>SUM(B15:T15)</f>
        <v>12337</v>
      </c>
      <c r="V15" s="167"/>
      <c r="W15" s="167"/>
      <c r="X15" s="167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</row>
    <row r="16" spans="1:66" ht="12">
      <c r="A16" s="245" t="s">
        <v>107</v>
      </c>
      <c r="B16" s="215">
        <f aca="true" t="shared" si="5" ref="B16:T16">+B37+B58</f>
        <v>1806</v>
      </c>
      <c r="C16" s="215">
        <f t="shared" si="5"/>
        <v>156</v>
      </c>
      <c r="D16" s="215">
        <f t="shared" si="5"/>
        <v>610</v>
      </c>
      <c r="E16" s="215">
        <f t="shared" si="5"/>
        <v>574</v>
      </c>
      <c r="F16" s="215">
        <f t="shared" si="5"/>
        <v>5783</v>
      </c>
      <c r="G16" s="215">
        <f t="shared" si="5"/>
        <v>781</v>
      </c>
      <c r="H16" s="215">
        <f t="shared" si="5"/>
        <v>1244</v>
      </c>
      <c r="I16" s="215">
        <f t="shared" si="5"/>
        <v>7369</v>
      </c>
      <c r="J16" s="215">
        <f t="shared" si="5"/>
        <v>8589</v>
      </c>
      <c r="K16" s="215">
        <f t="shared" si="5"/>
        <v>2386</v>
      </c>
      <c r="L16" s="215">
        <f t="shared" si="5"/>
        <v>3113</v>
      </c>
      <c r="M16" s="215">
        <f t="shared" si="5"/>
        <v>115</v>
      </c>
      <c r="N16" s="215">
        <f t="shared" si="5"/>
        <v>1021</v>
      </c>
      <c r="O16" s="215">
        <f t="shared" si="5"/>
        <v>2874</v>
      </c>
      <c r="P16" s="215">
        <f t="shared" si="5"/>
        <v>4162</v>
      </c>
      <c r="Q16" s="215">
        <f t="shared" si="5"/>
        <v>1263</v>
      </c>
      <c r="R16" s="215">
        <f t="shared" si="5"/>
        <v>4535</v>
      </c>
      <c r="S16" s="215">
        <f t="shared" si="5"/>
        <v>858</v>
      </c>
      <c r="T16" s="215">
        <f t="shared" si="5"/>
        <v>558</v>
      </c>
      <c r="U16" s="217">
        <f>+U14+U15</f>
        <v>47797</v>
      </c>
      <c r="V16" s="158"/>
      <c r="W16" s="150"/>
      <c r="X16" s="150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</row>
    <row r="17" spans="1:38" ht="24">
      <c r="A17" s="244" t="s">
        <v>117</v>
      </c>
      <c r="B17" s="169"/>
      <c r="C17" s="170"/>
      <c r="D17" s="170"/>
      <c r="E17" s="170"/>
      <c r="F17" s="169"/>
      <c r="G17" s="169"/>
      <c r="H17" s="171"/>
      <c r="I17" s="169"/>
      <c r="J17" s="172"/>
      <c r="K17" s="170"/>
      <c r="L17" s="172"/>
      <c r="M17" s="172"/>
      <c r="N17" s="170"/>
      <c r="O17" s="169"/>
      <c r="P17" s="172"/>
      <c r="Q17" s="170"/>
      <c r="R17" s="169"/>
      <c r="S17" s="169"/>
      <c r="T17" s="169"/>
      <c r="U17" s="172"/>
      <c r="V17" s="171"/>
      <c r="W17" s="171"/>
      <c r="X17" s="171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</row>
    <row r="18" spans="1:38" ht="12">
      <c r="A18" s="245" t="s">
        <v>105</v>
      </c>
      <c r="B18" s="215">
        <f aca="true" t="shared" si="6" ref="B18:T18">+B39+B60</f>
        <v>226</v>
      </c>
      <c r="C18" s="215">
        <f t="shared" si="6"/>
        <v>0</v>
      </c>
      <c r="D18" s="215">
        <f t="shared" si="6"/>
        <v>148</v>
      </c>
      <c r="E18" s="215">
        <f t="shared" si="6"/>
        <v>217</v>
      </c>
      <c r="F18" s="215">
        <f t="shared" si="6"/>
        <v>1400</v>
      </c>
      <c r="G18" s="215">
        <f t="shared" si="6"/>
        <v>412</v>
      </c>
      <c r="H18" s="215">
        <f t="shared" si="6"/>
        <v>0</v>
      </c>
      <c r="I18" s="215">
        <f t="shared" si="6"/>
        <v>2104</v>
      </c>
      <c r="J18" s="215">
        <f t="shared" si="6"/>
        <v>2409</v>
      </c>
      <c r="K18" s="215">
        <f t="shared" si="6"/>
        <v>474</v>
      </c>
      <c r="L18" s="215">
        <f t="shared" si="6"/>
        <v>113</v>
      </c>
      <c r="M18" s="215">
        <f t="shared" si="6"/>
        <v>48</v>
      </c>
      <c r="N18" s="215">
        <f t="shared" si="6"/>
        <v>599</v>
      </c>
      <c r="O18" s="215">
        <f t="shared" si="6"/>
        <v>606</v>
      </c>
      <c r="P18" s="215">
        <f t="shared" si="6"/>
        <v>881</v>
      </c>
      <c r="Q18" s="215">
        <f t="shared" si="6"/>
        <v>229</v>
      </c>
      <c r="R18" s="215">
        <f t="shared" si="6"/>
        <v>1335</v>
      </c>
      <c r="S18" s="215">
        <f t="shared" si="6"/>
        <v>207</v>
      </c>
      <c r="T18" s="215">
        <f t="shared" si="6"/>
        <v>194</v>
      </c>
      <c r="U18" s="172">
        <f>SUM(B18:T18)</f>
        <v>11602</v>
      </c>
      <c r="V18" s="150"/>
      <c r="W18" s="150"/>
      <c r="X18" s="150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</row>
    <row r="19" spans="1:38" ht="12">
      <c r="A19" s="245" t="s">
        <v>115</v>
      </c>
      <c r="B19" s="215">
        <f aca="true" t="shared" si="7" ref="B19:T19">+B40+B61</f>
        <v>65</v>
      </c>
      <c r="C19" s="215">
        <f t="shared" si="7"/>
        <v>0</v>
      </c>
      <c r="D19" s="215">
        <f t="shared" si="7"/>
        <v>15</v>
      </c>
      <c r="E19" s="215">
        <f t="shared" si="7"/>
        <v>65</v>
      </c>
      <c r="F19" s="215">
        <f t="shared" si="7"/>
        <v>264</v>
      </c>
      <c r="G19" s="215">
        <f t="shared" si="7"/>
        <v>50</v>
      </c>
      <c r="H19" s="215">
        <f t="shared" si="7"/>
        <v>34</v>
      </c>
      <c r="I19" s="215">
        <f t="shared" si="7"/>
        <v>829</v>
      </c>
      <c r="J19" s="215">
        <f t="shared" si="7"/>
        <v>776</v>
      </c>
      <c r="K19" s="215">
        <f t="shared" si="7"/>
        <v>120</v>
      </c>
      <c r="L19" s="215">
        <f t="shared" si="7"/>
        <v>7</v>
      </c>
      <c r="M19" s="215">
        <f t="shared" si="7"/>
        <v>26</v>
      </c>
      <c r="N19" s="215">
        <f t="shared" si="7"/>
        <v>123</v>
      </c>
      <c r="O19" s="215">
        <f t="shared" si="7"/>
        <v>274</v>
      </c>
      <c r="P19" s="215">
        <f t="shared" si="7"/>
        <v>248</v>
      </c>
      <c r="Q19" s="215">
        <f t="shared" si="7"/>
        <v>11</v>
      </c>
      <c r="R19" s="215">
        <f t="shared" si="7"/>
        <v>292</v>
      </c>
      <c r="S19" s="215">
        <f t="shared" si="7"/>
        <v>86</v>
      </c>
      <c r="T19" s="215">
        <f t="shared" si="7"/>
        <v>34</v>
      </c>
      <c r="U19" s="172">
        <f>SUM(B19:T19)</f>
        <v>3319</v>
      </c>
      <c r="V19" s="164"/>
      <c r="W19" s="164"/>
      <c r="X19" s="164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</row>
    <row r="20" spans="1:66" ht="12">
      <c r="A20" s="245" t="s">
        <v>107</v>
      </c>
      <c r="B20" s="215">
        <f aca="true" t="shared" si="8" ref="B20:T20">+B41+B62</f>
        <v>291</v>
      </c>
      <c r="C20" s="215">
        <f t="shared" si="8"/>
        <v>0</v>
      </c>
      <c r="D20" s="215">
        <f t="shared" si="8"/>
        <v>163</v>
      </c>
      <c r="E20" s="215">
        <f t="shared" si="8"/>
        <v>282</v>
      </c>
      <c r="F20" s="215">
        <f t="shared" si="8"/>
        <v>1664</v>
      </c>
      <c r="G20" s="215">
        <f t="shared" si="8"/>
        <v>462</v>
      </c>
      <c r="H20" s="215">
        <f t="shared" si="8"/>
        <v>34</v>
      </c>
      <c r="I20" s="215">
        <f t="shared" si="8"/>
        <v>2933</v>
      </c>
      <c r="J20" s="215">
        <f t="shared" si="8"/>
        <v>3185</v>
      </c>
      <c r="K20" s="215">
        <f t="shared" si="8"/>
        <v>594</v>
      </c>
      <c r="L20" s="215">
        <f t="shared" si="8"/>
        <v>120</v>
      </c>
      <c r="M20" s="215">
        <f t="shared" si="8"/>
        <v>74</v>
      </c>
      <c r="N20" s="215">
        <f t="shared" si="8"/>
        <v>722</v>
      </c>
      <c r="O20" s="215">
        <f t="shared" si="8"/>
        <v>880</v>
      </c>
      <c r="P20" s="215">
        <f t="shared" si="8"/>
        <v>1129</v>
      </c>
      <c r="Q20" s="215">
        <f t="shared" si="8"/>
        <v>240</v>
      </c>
      <c r="R20" s="215">
        <f t="shared" si="8"/>
        <v>1627</v>
      </c>
      <c r="S20" s="215">
        <f t="shared" si="8"/>
        <v>293</v>
      </c>
      <c r="T20" s="215">
        <f t="shared" si="8"/>
        <v>228</v>
      </c>
      <c r="U20" s="217">
        <f>+U18+U19</f>
        <v>14921</v>
      </c>
      <c r="V20" s="158"/>
      <c r="W20" s="150"/>
      <c r="X20" s="150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6"/>
    </row>
    <row r="21" spans="1:38" ht="12">
      <c r="A21" s="244" t="s">
        <v>111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72"/>
      <c r="V21" s="163"/>
      <c r="W21" s="163"/>
      <c r="X21" s="163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</row>
    <row r="22" spans="1:38" ht="12">
      <c r="A22" s="245" t="s">
        <v>105</v>
      </c>
      <c r="B22" s="215">
        <f aca="true" t="shared" si="9" ref="B22:U22">B43+B64</f>
        <v>0</v>
      </c>
      <c r="C22" s="215">
        <f t="shared" si="9"/>
        <v>567</v>
      </c>
      <c r="D22" s="215">
        <f t="shared" si="9"/>
        <v>0</v>
      </c>
      <c r="E22" s="215">
        <f t="shared" si="9"/>
        <v>0</v>
      </c>
      <c r="F22" s="215">
        <f t="shared" si="9"/>
        <v>0</v>
      </c>
      <c r="G22" s="215">
        <f t="shared" si="9"/>
        <v>1982</v>
      </c>
      <c r="H22" s="215">
        <f t="shared" si="9"/>
        <v>4945</v>
      </c>
      <c r="I22" s="215">
        <f t="shared" si="9"/>
        <v>594</v>
      </c>
      <c r="J22" s="215">
        <f t="shared" si="9"/>
        <v>0</v>
      </c>
      <c r="K22" s="215">
        <f t="shared" si="9"/>
        <v>0</v>
      </c>
      <c r="L22" s="215">
        <f t="shared" si="9"/>
        <v>2454</v>
      </c>
      <c r="M22" s="215">
        <f t="shared" si="9"/>
        <v>723</v>
      </c>
      <c r="N22" s="215">
        <f t="shared" si="9"/>
        <v>0</v>
      </c>
      <c r="O22" s="215">
        <f t="shared" si="9"/>
        <v>548</v>
      </c>
      <c r="P22" s="215">
        <f t="shared" si="9"/>
        <v>0</v>
      </c>
      <c r="Q22" s="215">
        <f t="shared" si="9"/>
        <v>0</v>
      </c>
      <c r="R22" s="215">
        <f t="shared" si="9"/>
        <v>0</v>
      </c>
      <c r="S22" s="215">
        <f t="shared" si="9"/>
        <v>0</v>
      </c>
      <c r="T22" s="215">
        <f t="shared" si="9"/>
        <v>0</v>
      </c>
      <c r="U22" s="215">
        <f t="shared" si="9"/>
        <v>11813</v>
      </c>
      <c r="V22" s="177"/>
      <c r="W22" s="177"/>
      <c r="X22" s="177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</row>
    <row r="23" spans="1:38" ht="12">
      <c r="A23" s="245" t="s">
        <v>115</v>
      </c>
      <c r="B23" s="215">
        <f aca="true" t="shared" si="10" ref="B23:U23">B44+B65</f>
        <v>0</v>
      </c>
      <c r="C23" s="215">
        <f t="shared" si="10"/>
        <v>10</v>
      </c>
      <c r="D23" s="215">
        <f t="shared" si="10"/>
        <v>0</v>
      </c>
      <c r="E23" s="215">
        <f t="shared" si="10"/>
        <v>0</v>
      </c>
      <c r="F23" s="215">
        <f t="shared" si="10"/>
        <v>0</v>
      </c>
      <c r="G23" s="215">
        <f t="shared" si="10"/>
        <v>533</v>
      </c>
      <c r="H23" s="215">
        <f t="shared" si="10"/>
        <v>1570</v>
      </c>
      <c r="I23" s="215">
        <f t="shared" si="10"/>
        <v>504</v>
      </c>
      <c r="J23" s="215">
        <f t="shared" si="10"/>
        <v>0</v>
      </c>
      <c r="K23" s="215">
        <f t="shared" si="10"/>
        <v>0</v>
      </c>
      <c r="L23" s="215">
        <f t="shared" si="10"/>
        <v>669</v>
      </c>
      <c r="M23" s="215">
        <f t="shared" si="10"/>
        <v>309</v>
      </c>
      <c r="N23" s="215">
        <f t="shared" si="10"/>
        <v>0</v>
      </c>
      <c r="O23" s="215">
        <f t="shared" si="10"/>
        <v>0</v>
      </c>
      <c r="P23" s="215">
        <f t="shared" si="10"/>
        <v>0</v>
      </c>
      <c r="Q23" s="215">
        <f t="shared" si="10"/>
        <v>0</v>
      </c>
      <c r="R23" s="215">
        <f t="shared" si="10"/>
        <v>0</v>
      </c>
      <c r="S23" s="215">
        <f t="shared" si="10"/>
        <v>0</v>
      </c>
      <c r="T23" s="215">
        <f t="shared" si="10"/>
        <v>0</v>
      </c>
      <c r="U23" s="215">
        <f t="shared" si="10"/>
        <v>3595</v>
      </c>
      <c r="V23" s="150"/>
      <c r="W23" s="150"/>
      <c r="X23" s="150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</row>
    <row r="24" spans="1:66" ht="12">
      <c r="A24" s="245" t="s">
        <v>107</v>
      </c>
      <c r="B24" s="215">
        <f>B22+B23</f>
        <v>0</v>
      </c>
      <c r="C24" s="215">
        <f aca="true" t="shared" si="11" ref="C24:T24">C22+C23</f>
        <v>577</v>
      </c>
      <c r="D24" s="215">
        <f t="shared" si="11"/>
        <v>0</v>
      </c>
      <c r="E24" s="215">
        <f t="shared" si="11"/>
        <v>0</v>
      </c>
      <c r="F24" s="215">
        <f t="shared" si="11"/>
        <v>0</v>
      </c>
      <c r="G24" s="215">
        <f t="shared" si="11"/>
        <v>2515</v>
      </c>
      <c r="H24" s="215">
        <f t="shared" si="11"/>
        <v>6515</v>
      </c>
      <c r="I24" s="215">
        <f t="shared" si="11"/>
        <v>1098</v>
      </c>
      <c r="J24" s="215">
        <f t="shared" si="11"/>
        <v>0</v>
      </c>
      <c r="K24" s="215">
        <f t="shared" si="11"/>
        <v>0</v>
      </c>
      <c r="L24" s="215">
        <f t="shared" si="11"/>
        <v>3123</v>
      </c>
      <c r="M24" s="215">
        <f t="shared" si="11"/>
        <v>1032</v>
      </c>
      <c r="N24" s="215">
        <f t="shared" si="11"/>
        <v>0</v>
      </c>
      <c r="O24" s="215">
        <f t="shared" si="11"/>
        <v>548</v>
      </c>
      <c r="P24" s="215">
        <f t="shared" si="11"/>
        <v>0</v>
      </c>
      <c r="Q24" s="215">
        <f t="shared" si="11"/>
        <v>0</v>
      </c>
      <c r="R24" s="215">
        <f t="shared" si="11"/>
        <v>0</v>
      </c>
      <c r="S24" s="215">
        <f t="shared" si="11"/>
        <v>0</v>
      </c>
      <c r="T24" s="215">
        <f t="shared" si="11"/>
        <v>0</v>
      </c>
      <c r="U24" s="217">
        <f>+U22+U23</f>
        <v>15408</v>
      </c>
      <c r="V24" s="158"/>
      <c r="W24" s="150"/>
      <c r="X24" s="150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  <c r="BG24" s="246"/>
      <c r="BH24" s="246"/>
      <c r="BI24" s="246"/>
      <c r="BJ24" s="246"/>
      <c r="BK24" s="246"/>
      <c r="BL24" s="246"/>
      <c r="BM24" s="246"/>
      <c r="BN24" s="246"/>
    </row>
    <row r="25" spans="1:38" ht="12">
      <c r="A25" s="244" t="s">
        <v>112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51"/>
      <c r="V25" s="150"/>
      <c r="W25" s="150"/>
      <c r="X25" s="150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</row>
    <row r="26" spans="1:24" ht="12">
      <c r="A26" s="245" t="s">
        <v>105</v>
      </c>
      <c r="B26" s="223">
        <f>+B22+B18+B14+B10</f>
        <v>1646</v>
      </c>
      <c r="C26" s="223">
        <f aca="true" t="shared" si="12" ref="C26:T27">+C22+C18+C14+C10</f>
        <v>695</v>
      </c>
      <c r="D26" s="223">
        <f t="shared" si="12"/>
        <v>688</v>
      </c>
      <c r="E26" s="223">
        <f t="shared" si="12"/>
        <v>588</v>
      </c>
      <c r="F26" s="223">
        <f t="shared" si="12"/>
        <v>5362</v>
      </c>
      <c r="G26" s="223">
        <f t="shared" si="12"/>
        <v>3021</v>
      </c>
      <c r="H26" s="223">
        <f t="shared" si="12"/>
        <v>5741</v>
      </c>
      <c r="I26" s="223">
        <f t="shared" si="12"/>
        <v>7832</v>
      </c>
      <c r="J26" s="223">
        <f t="shared" si="12"/>
        <v>8862</v>
      </c>
      <c r="K26" s="223">
        <f t="shared" si="12"/>
        <v>2070</v>
      </c>
      <c r="L26" s="223">
        <f t="shared" si="12"/>
        <v>5090</v>
      </c>
      <c r="M26" s="223">
        <f t="shared" si="12"/>
        <v>857</v>
      </c>
      <c r="N26" s="223">
        <f t="shared" si="12"/>
        <v>1403</v>
      </c>
      <c r="O26" s="223">
        <f t="shared" si="12"/>
        <v>3539</v>
      </c>
      <c r="P26" s="223">
        <f t="shared" si="12"/>
        <v>3928</v>
      </c>
      <c r="Q26" s="223">
        <f t="shared" si="12"/>
        <v>1379</v>
      </c>
      <c r="R26" s="223">
        <f t="shared" si="12"/>
        <v>4834</v>
      </c>
      <c r="S26" s="223">
        <f t="shared" si="12"/>
        <v>975</v>
      </c>
      <c r="T26" s="223">
        <f t="shared" si="12"/>
        <v>727</v>
      </c>
      <c r="U26" s="223">
        <f>+U22+U18+U14+U10</f>
        <v>59237</v>
      </c>
      <c r="V26" s="181"/>
      <c r="W26" s="181"/>
      <c r="X26" s="181"/>
    </row>
    <row r="27" spans="1:24" ht="12">
      <c r="A27" s="245" t="s">
        <v>115</v>
      </c>
      <c r="B27" s="223">
        <f>+B23+B19+B15+B11</f>
        <v>484</v>
      </c>
      <c r="C27" s="223">
        <f t="shared" si="12"/>
        <v>38</v>
      </c>
      <c r="D27" s="223">
        <f t="shared" si="12"/>
        <v>92</v>
      </c>
      <c r="E27" s="223">
        <f t="shared" si="12"/>
        <v>335</v>
      </c>
      <c r="F27" s="223">
        <f t="shared" si="12"/>
        <v>2238</v>
      </c>
      <c r="G27" s="223">
        <f t="shared" si="12"/>
        <v>814</v>
      </c>
      <c r="H27" s="223">
        <f t="shared" si="12"/>
        <v>2673</v>
      </c>
      <c r="I27" s="223">
        <f t="shared" si="12"/>
        <v>3920</v>
      </c>
      <c r="J27" s="223">
        <f t="shared" si="12"/>
        <v>3461</v>
      </c>
      <c r="K27" s="223">
        <f t="shared" si="12"/>
        <v>999</v>
      </c>
      <c r="L27" s="223">
        <f t="shared" si="12"/>
        <v>1365</v>
      </c>
      <c r="M27" s="223">
        <f t="shared" si="12"/>
        <v>396</v>
      </c>
      <c r="N27" s="223">
        <f t="shared" si="12"/>
        <v>393</v>
      </c>
      <c r="O27" s="223">
        <f t="shared" si="12"/>
        <v>1769</v>
      </c>
      <c r="P27" s="223">
        <f t="shared" si="12"/>
        <v>1499</v>
      </c>
      <c r="Q27" s="223">
        <f t="shared" si="12"/>
        <v>166</v>
      </c>
      <c r="R27" s="223">
        <f t="shared" si="12"/>
        <v>1589</v>
      </c>
      <c r="S27" s="223">
        <f t="shared" si="12"/>
        <v>190</v>
      </c>
      <c r="T27" s="223">
        <f t="shared" si="12"/>
        <v>63</v>
      </c>
      <c r="U27" s="223">
        <f>+U23+U19+U15+U11</f>
        <v>22484</v>
      </c>
      <c r="V27" s="181"/>
      <c r="W27" s="181"/>
      <c r="X27" s="181"/>
    </row>
    <row r="28" spans="1:66" ht="12">
      <c r="A28" s="245" t="s">
        <v>107</v>
      </c>
      <c r="B28" s="217">
        <f aca="true" t="shared" si="13" ref="B28:U28">+B26+B27</f>
        <v>2130</v>
      </c>
      <c r="C28" s="217">
        <f t="shared" si="13"/>
        <v>733</v>
      </c>
      <c r="D28" s="217">
        <f t="shared" si="13"/>
        <v>780</v>
      </c>
      <c r="E28" s="217">
        <f t="shared" si="13"/>
        <v>923</v>
      </c>
      <c r="F28" s="217">
        <f t="shared" si="13"/>
        <v>7600</v>
      </c>
      <c r="G28" s="217">
        <f t="shared" si="13"/>
        <v>3835</v>
      </c>
      <c r="H28" s="217">
        <f t="shared" si="13"/>
        <v>8414</v>
      </c>
      <c r="I28" s="217">
        <f t="shared" si="13"/>
        <v>11752</v>
      </c>
      <c r="J28" s="217">
        <f t="shared" si="13"/>
        <v>12323</v>
      </c>
      <c r="K28" s="217">
        <f t="shared" si="13"/>
        <v>3069</v>
      </c>
      <c r="L28" s="217">
        <f t="shared" si="13"/>
        <v>6455</v>
      </c>
      <c r="M28" s="217">
        <f t="shared" si="13"/>
        <v>1253</v>
      </c>
      <c r="N28" s="217">
        <f t="shared" si="13"/>
        <v>1796</v>
      </c>
      <c r="O28" s="217">
        <f t="shared" si="13"/>
        <v>5308</v>
      </c>
      <c r="P28" s="217">
        <f t="shared" si="13"/>
        <v>5427</v>
      </c>
      <c r="Q28" s="217">
        <f t="shared" si="13"/>
        <v>1545</v>
      </c>
      <c r="R28" s="217">
        <f t="shared" si="13"/>
        <v>6423</v>
      </c>
      <c r="S28" s="217">
        <f t="shared" si="13"/>
        <v>1165</v>
      </c>
      <c r="T28" s="217">
        <f t="shared" si="13"/>
        <v>790</v>
      </c>
      <c r="U28" s="217">
        <f t="shared" si="13"/>
        <v>81721</v>
      </c>
      <c r="V28" s="158"/>
      <c r="W28" s="150"/>
      <c r="X28" s="150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  <c r="BG28" s="246"/>
      <c r="BH28" s="246"/>
      <c r="BI28" s="246"/>
      <c r="BJ28" s="246"/>
      <c r="BK28" s="246"/>
      <c r="BL28" s="246"/>
      <c r="BM28" s="246"/>
      <c r="BN28" s="246"/>
    </row>
    <row r="29" spans="2:21" s="135" customFormat="1" ht="12">
      <c r="B29" s="218"/>
      <c r="C29" s="218"/>
      <c r="E29" s="218"/>
      <c r="F29" s="218"/>
      <c r="G29" s="218"/>
      <c r="H29" s="218"/>
      <c r="I29" s="218"/>
      <c r="J29" s="218"/>
      <c r="K29" s="218" t="s">
        <v>114</v>
      </c>
      <c r="L29" s="218"/>
      <c r="M29" s="218"/>
      <c r="N29" s="218"/>
      <c r="O29" s="218"/>
      <c r="P29" s="252"/>
      <c r="Q29" s="218"/>
      <c r="R29" s="218"/>
      <c r="S29" s="218"/>
      <c r="T29" s="218"/>
      <c r="U29" s="218"/>
    </row>
    <row r="30" spans="1:66" s="120" customFormat="1" ht="12">
      <c r="A30" s="244" t="s">
        <v>104</v>
      </c>
      <c r="B30" s="215"/>
      <c r="C30" s="215"/>
      <c r="D30" s="169"/>
      <c r="E30" s="169"/>
      <c r="F30" s="169"/>
      <c r="G30" s="169"/>
      <c r="H30" s="215"/>
      <c r="I30" s="169"/>
      <c r="J30" s="169"/>
      <c r="K30" s="215"/>
      <c r="L30" s="169"/>
      <c r="M30" s="169"/>
      <c r="N30" s="169"/>
      <c r="O30" s="169"/>
      <c r="P30" s="169"/>
      <c r="Q30" s="169"/>
      <c r="R30" s="215"/>
      <c r="S30" s="215"/>
      <c r="T30" s="215"/>
      <c r="U30" s="172"/>
      <c r="V30" s="150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</row>
    <row r="31" spans="1:66" ht="12">
      <c r="A31" s="245" t="s">
        <v>105</v>
      </c>
      <c r="B31" s="264">
        <v>0</v>
      </c>
      <c r="C31" s="264"/>
      <c r="D31" s="264">
        <v>0</v>
      </c>
      <c r="E31" s="264">
        <v>0</v>
      </c>
      <c r="F31" s="264">
        <v>1</v>
      </c>
      <c r="G31" s="264">
        <v>1</v>
      </c>
      <c r="H31" s="264">
        <v>2</v>
      </c>
      <c r="I31" s="264">
        <v>1</v>
      </c>
      <c r="J31" s="264">
        <v>0</v>
      </c>
      <c r="K31" s="264">
        <v>0</v>
      </c>
      <c r="L31" s="264">
        <v>2</v>
      </c>
      <c r="M31" s="264">
        <v>0</v>
      </c>
      <c r="N31" s="264">
        <v>0</v>
      </c>
      <c r="O31" s="264">
        <v>16</v>
      </c>
      <c r="P31" s="264">
        <v>0</v>
      </c>
      <c r="Q31" s="264">
        <v>0</v>
      </c>
      <c r="R31" s="264">
        <v>0</v>
      </c>
      <c r="S31" s="264">
        <v>0</v>
      </c>
      <c r="T31" s="264">
        <v>0</v>
      </c>
      <c r="U31" s="172">
        <f>SUM(B31:T31)</f>
        <v>23</v>
      </c>
      <c r="V31" s="150"/>
      <c r="W31" s="150"/>
      <c r="X31" s="150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6"/>
      <c r="BL31" s="246"/>
      <c r="BM31" s="246"/>
      <c r="BN31" s="246"/>
    </row>
    <row r="32" spans="1:66" ht="12">
      <c r="A32" s="245" t="s">
        <v>115</v>
      </c>
      <c r="B32" s="264">
        <v>22</v>
      </c>
      <c r="C32" s="264"/>
      <c r="D32" s="264">
        <v>5</v>
      </c>
      <c r="E32" s="264">
        <v>16</v>
      </c>
      <c r="F32" s="264">
        <v>80</v>
      </c>
      <c r="G32" s="264">
        <v>14</v>
      </c>
      <c r="H32" s="264">
        <v>252</v>
      </c>
      <c r="I32" s="264">
        <v>290</v>
      </c>
      <c r="J32" s="264">
        <v>210</v>
      </c>
      <c r="K32" s="264">
        <v>6</v>
      </c>
      <c r="L32" s="264">
        <v>56</v>
      </c>
      <c r="M32" s="264">
        <v>10</v>
      </c>
      <c r="N32" s="264">
        <v>13</v>
      </c>
      <c r="O32" s="264">
        <v>53</v>
      </c>
      <c r="P32" s="264">
        <v>74</v>
      </c>
      <c r="Q32" s="264">
        <v>22</v>
      </c>
      <c r="R32" s="264">
        <v>114</v>
      </c>
      <c r="S32" s="264">
        <v>7</v>
      </c>
      <c r="T32" s="264">
        <v>1</v>
      </c>
      <c r="U32" s="172">
        <f>SUM(B32:T32)</f>
        <v>1245</v>
      </c>
      <c r="V32" s="150"/>
      <c r="W32" s="150"/>
      <c r="X32" s="150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</row>
    <row r="33" spans="1:66" ht="12">
      <c r="A33" s="245" t="s">
        <v>107</v>
      </c>
      <c r="B33" s="217">
        <f aca="true" t="shared" si="14" ref="B33:U33">+B31+B32</f>
        <v>22</v>
      </c>
      <c r="C33" s="217">
        <f t="shared" si="14"/>
        <v>0</v>
      </c>
      <c r="D33" s="217">
        <f t="shared" si="14"/>
        <v>5</v>
      </c>
      <c r="E33" s="217">
        <f t="shared" si="14"/>
        <v>16</v>
      </c>
      <c r="F33" s="217">
        <f t="shared" si="14"/>
        <v>81</v>
      </c>
      <c r="G33" s="217">
        <f t="shared" si="14"/>
        <v>15</v>
      </c>
      <c r="H33" s="217">
        <f t="shared" si="14"/>
        <v>254</v>
      </c>
      <c r="I33" s="217">
        <f t="shared" si="14"/>
        <v>291</v>
      </c>
      <c r="J33" s="217">
        <f t="shared" si="14"/>
        <v>210</v>
      </c>
      <c r="K33" s="217">
        <f t="shared" si="14"/>
        <v>6</v>
      </c>
      <c r="L33" s="217">
        <f t="shared" si="14"/>
        <v>58</v>
      </c>
      <c r="M33" s="217">
        <f t="shared" si="14"/>
        <v>10</v>
      </c>
      <c r="N33" s="217">
        <f t="shared" si="14"/>
        <v>13</v>
      </c>
      <c r="O33" s="217">
        <f t="shared" si="14"/>
        <v>69</v>
      </c>
      <c r="P33" s="217">
        <f t="shared" si="14"/>
        <v>74</v>
      </c>
      <c r="Q33" s="217">
        <f t="shared" si="14"/>
        <v>22</v>
      </c>
      <c r="R33" s="217">
        <f t="shared" si="14"/>
        <v>114</v>
      </c>
      <c r="S33" s="217">
        <f t="shared" si="14"/>
        <v>7</v>
      </c>
      <c r="T33" s="217">
        <f t="shared" si="14"/>
        <v>1</v>
      </c>
      <c r="U33" s="217">
        <f t="shared" si="14"/>
        <v>1268</v>
      </c>
      <c r="V33" s="158"/>
      <c r="W33" s="150"/>
      <c r="X33" s="150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6"/>
      <c r="BJ33" s="246"/>
      <c r="BK33" s="246"/>
      <c r="BL33" s="246"/>
      <c r="BM33" s="246"/>
      <c r="BN33" s="246"/>
    </row>
    <row r="34" spans="1:66" s="250" customFormat="1" ht="12">
      <c r="A34" s="244" t="s">
        <v>109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9"/>
      <c r="S34" s="163"/>
      <c r="T34" s="163"/>
      <c r="U34" s="172"/>
      <c r="V34" s="164"/>
      <c r="W34" s="150"/>
      <c r="X34" s="150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49"/>
      <c r="AL34" s="249"/>
      <c r="AM34" s="249"/>
      <c r="AN34" s="249"/>
      <c r="AO34" s="249"/>
      <c r="AP34" s="249"/>
      <c r="AQ34" s="249"/>
      <c r="AR34" s="249"/>
      <c r="AS34" s="249"/>
      <c r="AT34" s="249"/>
      <c r="AU34" s="249"/>
      <c r="AV34" s="249"/>
      <c r="AW34" s="249"/>
      <c r="AX34" s="249"/>
      <c r="AY34" s="249"/>
      <c r="AZ34" s="249"/>
      <c r="BA34" s="249"/>
      <c r="BB34" s="249"/>
      <c r="BC34" s="249"/>
      <c r="BD34" s="249"/>
      <c r="BE34" s="249"/>
      <c r="BF34" s="249"/>
      <c r="BG34" s="249"/>
      <c r="BH34" s="249"/>
      <c r="BI34" s="249"/>
      <c r="BJ34" s="249"/>
      <c r="BK34" s="249"/>
      <c r="BL34" s="249"/>
      <c r="BM34" s="249"/>
      <c r="BN34" s="249"/>
    </row>
    <row r="35" spans="1:66" ht="13.5" customHeight="1">
      <c r="A35" s="245" t="s">
        <v>105</v>
      </c>
      <c r="B35" s="264">
        <v>823</v>
      </c>
      <c r="C35" s="264">
        <v>69</v>
      </c>
      <c r="D35" s="264">
        <v>333</v>
      </c>
      <c r="E35" s="264">
        <v>87</v>
      </c>
      <c r="F35" s="264">
        <v>2038</v>
      </c>
      <c r="G35" s="264">
        <v>183</v>
      </c>
      <c r="H35" s="264">
        <v>301</v>
      </c>
      <c r="I35" s="264">
        <v>3738</v>
      </c>
      <c r="J35" s="264">
        <v>2402</v>
      </c>
      <c r="K35" s="264">
        <v>307</v>
      </c>
      <c r="L35" s="264">
        <v>770</v>
      </c>
      <c r="M35" s="264">
        <v>36</v>
      </c>
      <c r="N35" s="264">
        <v>226</v>
      </c>
      <c r="O35" s="264">
        <v>257</v>
      </c>
      <c r="P35" s="264">
        <v>1862</v>
      </c>
      <c r="Q35" s="264">
        <v>836</v>
      </c>
      <c r="R35" s="264">
        <v>1323</v>
      </c>
      <c r="S35" s="264">
        <v>367</v>
      </c>
      <c r="T35" s="264">
        <v>89</v>
      </c>
      <c r="U35" s="172">
        <f>SUM(B35:T35)</f>
        <v>16047</v>
      </c>
      <c r="V35" s="167"/>
      <c r="W35" s="167"/>
      <c r="X35" s="167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/>
      <c r="BL35" s="246"/>
      <c r="BM35" s="246"/>
      <c r="BN35" s="246"/>
    </row>
    <row r="36" spans="1:38" ht="12">
      <c r="A36" s="245" t="s">
        <v>115</v>
      </c>
      <c r="B36" s="264">
        <v>253</v>
      </c>
      <c r="C36" s="264">
        <v>18</v>
      </c>
      <c r="D36" s="264">
        <v>50</v>
      </c>
      <c r="E36" s="264">
        <v>57</v>
      </c>
      <c r="F36" s="264">
        <v>979</v>
      </c>
      <c r="G36" s="264">
        <v>53</v>
      </c>
      <c r="H36" s="264">
        <v>172</v>
      </c>
      <c r="I36" s="264">
        <v>1782</v>
      </c>
      <c r="J36" s="264">
        <v>860</v>
      </c>
      <c r="K36" s="264">
        <v>167</v>
      </c>
      <c r="L36" s="264">
        <v>248</v>
      </c>
      <c r="M36" s="264">
        <v>19</v>
      </c>
      <c r="N36" s="264">
        <v>64</v>
      </c>
      <c r="O36" s="264">
        <v>116</v>
      </c>
      <c r="P36" s="264">
        <v>670</v>
      </c>
      <c r="Q36" s="264">
        <v>79</v>
      </c>
      <c r="R36" s="264">
        <v>461</v>
      </c>
      <c r="S36" s="264">
        <v>57</v>
      </c>
      <c r="T36" s="264">
        <v>5</v>
      </c>
      <c r="U36" s="172">
        <f>SUM(B36:T36)</f>
        <v>6110</v>
      </c>
      <c r="V36" s="167"/>
      <c r="W36" s="167"/>
      <c r="X36" s="167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</row>
    <row r="37" spans="1:66" ht="12">
      <c r="A37" s="245" t="s">
        <v>107</v>
      </c>
      <c r="B37" s="217">
        <f aca="true" t="shared" si="15" ref="B37:U37">+B35+B36</f>
        <v>1076</v>
      </c>
      <c r="C37" s="217">
        <f t="shared" si="15"/>
        <v>87</v>
      </c>
      <c r="D37" s="217">
        <f t="shared" si="15"/>
        <v>383</v>
      </c>
      <c r="E37" s="217">
        <f t="shared" si="15"/>
        <v>144</v>
      </c>
      <c r="F37" s="217">
        <f t="shared" si="15"/>
        <v>3017</v>
      </c>
      <c r="G37" s="217">
        <f t="shared" si="15"/>
        <v>236</v>
      </c>
      <c r="H37" s="217">
        <f t="shared" si="15"/>
        <v>473</v>
      </c>
      <c r="I37" s="217">
        <f t="shared" si="15"/>
        <v>5520</v>
      </c>
      <c r="J37" s="217">
        <f t="shared" si="15"/>
        <v>3262</v>
      </c>
      <c r="K37" s="217">
        <f t="shared" si="15"/>
        <v>474</v>
      </c>
      <c r="L37" s="217">
        <f t="shared" si="15"/>
        <v>1018</v>
      </c>
      <c r="M37" s="217">
        <f t="shared" si="15"/>
        <v>55</v>
      </c>
      <c r="N37" s="217">
        <f t="shared" si="15"/>
        <v>290</v>
      </c>
      <c r="O37" s="217">
        <f t="shared" si="15"/>
        <v>373</v>
      </c>
      <c r="P37" s="217">
        <f t="shared" si="15"/>
        <v>2532</v>
      </c>
      <c r="Q37" s="217">
        <f t="shared" si="15"/>
        <v>915</v>
      </c>
      <c r="R37" s="217">
        <f t="shared" si="15"/>
        <v>1784</v>
      </c>
      <c r="S37" s="217">
        <f t="shared" si="15"/>
        <v>424</v>
      </c>
      <c r="T37" s="217">
        <f t="shared" si="15"/>
        <v>94</v>
      </c>
      <c r="U37" s="217">
        <f t="shared" si="15"/>
        <v>22157</v>
      </c>
      <c r="V37" s="158"/>
      <c r="W37" s="150"/>
      <c r="X37" s="150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  <c r="BC37" s="246"/>
      <c r="BD37" s="246"/>
      <c r="BE37" s="246"/>
      <c r="BF37" s="246"/>
      <c r="BG37" s="246"/>
      <c r="BH37" s="246"/>
      <c r="BI37" s="246"/>
      <c r="BJ37" s="246"/>
      <c r="BK37" s="246"/>
      <c r="BL37" s="246"/>
      <c r="BM37" s="246"/>
      <c r="BN37" s="246"/>
    </row>
    <row r="38" spans="1:38" ht="24">
      <c r="A38" s="244" t="s">
        <v>117</v>
      </c>
      <c r="B38" s="169"/>
      <c r="C38" s="170"/>
      <c r="D38" s="170"/>
      <c r="E38" s="170"/>
      <c r="F38" s="169"/>
      <c r="G38" s="169"/>
      <c r="H38" s="171"/>
      <c r="I38" s="169"/>
      <c r="J38" s="172"/>
      <c r="K38" s="170"/>
      <c r="L38" s="172"/>
      <c r="M38" s="172"/>
      <c r="N38" s="170"/>
      <c r="O38" s="169"/>
      <c r="P38" s="172"/>
      <c r="Q38" s="170"/>
      <c r="R38" s="169"/>
      <c r="S38" s="169"/>
      <c r="T38" s="169"/>
      <c r="U38" s="172"/>
      <c r="V38" s="171"/>
      <c r="W38" s="171"/>
      <c r="X38" s="171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</row>
    <row r="39" spans="1:38" ht="12">
      <c r="A39" s="245" t="s">
        <v>105</v>
      </c>
      <c r="B39" s="264">
        <v>136</v>
      </c>
      <c r="C39" s="264">
        <v>0</v>
      </c>
      <c r="D39" s="264">
        <v>100</v>
      </c>
      <c r="E39" s="264">
        <v>57</v>
      </c>
      <c r="F39" s="264">
        <v>650</v>
      </c>
      <c r="G39" s="264">
        <v>119</v>
      </c>
      <c r="H39" s="264">
        <v>0</v>
      </c>
      <c r="I39" s="264">
        <v>1537</v>
      </c>
      <c r="J39" s="264">
        <v>808</v>
      </c>
      <c r="K39" s="264">
        <v>48</v>
      </c>
      <c r="L39" s="264">
        <v>26</v>
      </c>
      <c r="M39" s="264">
        <v>24</v>
      </c>
      <c r="N39" s="264">
        <v>114</v>
      </c>
      <c r="O39" s="264">
        <v>64</v>
      </c>
      <c r="P39" s="264">
        <v>465</v>
      </c>
      <c r="Q39" s="264">
        <v>146</v>
      </c>
      <c r="R39" s="264">
        <v>488</v>
      </c>
      <c r="S39" s="264">
        <v>100</v>
      </c>
      <c r="T39" s="264">
        <v>25</v>
      </c>
      <c r="U39" s="172">
        <f>SUM(B39:T39)</f>
        <v>4907</v>
      </c>
      <c r="V39" s="150"/>
      <c r="W39" s="150"/>
      <c r="X39" s="150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</row>
    <row r="40" spans="1:38" ht="12">
      <c r="A40" s="245" t="s">
        <v>115</v>
      </c>
      <c r="B40" s="264">
        <v>41</v>
      </c>
      <c r="C40" s="264">
        <v>0</v>
      </c>
      <c r="D40" s="264">
        <v>8</v>
      </c>
      <c r="E40" s="264">
        <v>14</v>
      </c>
      <c r="F40" s="264">
        <v>124</v>
      </c>
      <c r="G40" s="264">
        <v>16</v>
      </c>
      <c r="H40" s="264">
        <v>16</v>
      </c>
      <c r="I40" s="264">
        <v>656</v>
      </c>
      <c r="J40" s="264">
        <v>314</v>
      </c>
      <c r="K40" s="264">
        <v>19</v>
      </c>
      <c r="L40" s="264">
        <v>2</v>
      </c>
      <c r="M40" s="264">
        <v>10</v>
      </c>
      <c r="N40" s="264">
        <v>22</v>
      </c>
      <c r="O40" s="264">
        <v>37</v>
      </c>
      <c r="P40" s="264">
        <v>161</v>
      </c>
      <c r="Q40" s="264">
        <v>8</v>
      </c>
      <c r="R40" s="264">
        <v>115</v>
      </c>
      <c r="S40" s="264">
        <v>38</v>
      </c>
      <c r="T40" s="264">
        <v>3</v>
      </c>
      <c r="U40" s="172">
        <f>SUM(B40:T40)</f>
        <v>1604</v>
      </c>
      <c r="V40" s="164"/>
      <c r="W40" s="164"/>
      <c r="X40" s="164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</row>
    <row r="41" spans="1:66" ht="12">
      <c r="A41" s="245" t="s">
        <v>107</v>
      </c>
      <c r="B41" s="217">
        <f aca="true" t="shared" si="16" ref="B41:U41">+B39+B40</f>
        <v>177</v>
      </c>
      <c r="C41" s="217">
        <f t="shared" si="16"/>
        <v>0</v>
      </c>
      <c r="D41" s="217">
        <f t="shared" si="16"/>
        <v>108</v>
      </c>
      <c r="E41" s="217">
        <f t="shared" si="16"/>
        <v>71</v>
      </c>
      <c r="F41" s="217">
        <f t="shared" si="16"/>
        <v>774</v>
      </c>
      <c r="G41" s="217">
        <f t="shared" si="16"/>
        <v>135</v>
      </c>
      <c r="H41" s="217">
        <f t="shared" si="16"/>
        <v>16</v>
      </c>
      <c r="I41" s="217">
        <f t="shared" si="16"/>
        <v>2193</v>
      </c>
      <c r="J41" s="217">
        <f t="shared" si="16"/>
        <v>1122</v>
      </c>
      <c r="K41" s="217">
        <f t="shared" si="16"/>
        <v>67</v>
      </c>
      <c r="L41" s="217">
        <f t="shared" si="16"/>
        <v>28</v>
      </c>
      <c r="M41" s="217">
        <f t="shared" si="16"/>
        <v>34</v>
      </c>
      <c r="N41" s="217">
        <f t="shared" si="16"/>
        <v>136</v>
      </c>
      <c r="O41" s="217">
        <f t="shared" si="16"/>
        <v>101</v>
      </c>
      <c r="P41" s="217">
        <f t="shared" si="16"/>
        <v>626</v>
      </c>
      <c r="Q41" s="217">
        <f t="shared" si="16"/>
        <v>154</v>
      </c>
      <c r="R41" s="217">
        <f t="shared" si="16"/>
        <v>603</v>
      </c>
      <c r="S41" s="217">
        <f t="shared" si="16"/>
        <v>138</v>
      </c>
      <c r="T41" s="217">
        <f t="shared" si="16"/>
        <v>28</v>
      </c>
      <c r="U41" s="217">
        <f t="shared" si="16"/>
        <v>6511</v>
      </c>
      <c r="V41" s="158"/>
      <c r="W41" s="150"/>
      <c r="X41" s="150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6"/>
      <c r="BK41" s="246"/>
      <c r="BL41" s="246"/>
      <c r="BM41" s="246"/>
      <c r="BN41" s="246"/>
    </row>
    <row r="42" spans="1:66" ht="12">
      <c r="A42" s="244" t="s">
        <v>111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72"/>
      <c r="V42" s="158"/>
      <c r="W42" s="150"/>
      <c r="X42" s="150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6"/>
      <c r="BC42" s="246"/>
      <c r="BD42" s="246"/>
      <c r="BE42" s="246"/>
      <c r="BF42" s="246"/>
      <c r="BG42" s="246"/>
      <c r="BH42" s="246"/>
      <c r="BI42" s="246"/>
      <c r="BJ42" s="246"/>
      <c r="BK42" s="246"/>
      <c r="BL42" s="246"/>
      <c r="BM42" s="246"/>
      <c r="BN42" s="246"/>
    </row>
    <row r="43" spans="1:66" ht="12">
      <c r="A43" s="245" t="s">
        <v>105</v>
      </c>
      <c r="B43" s="264">
        <v>0</v>
      </c>
      <c r="C43" s="264">
        <v>257</v>
      </c>
      <c r="D43" s="264">
        <v>0</v>
      </c>
      <c r="E43" s="264">
        <v>0</v>
      </c>
      <c r="F43" s="264">
        <v>0</v>
      </c>
      <c r="G43" s="264">
        <v>527</v>
      </c>
      <c r="H43" s="264">
        <v>1943</v>
      </c>
      <c r="I43" s="264">
        <v>264</v>
      </c>
      <c r="J43" s="264">
        <v>0</v>
      </c>
      <c r="K43" s="264">
        <v>0</v>
      </c>
      <c r="L43" s="264">
        <v>1112</v>
      </c>
      <c r="M43" s="264">
        <v>212</v>
      </c>
      <c r="N43" s="264">
        <v>0</v>
      </c>
      <c r="O43" s="264">
        <v>27</v>
      </c>
      <c r="P43" s="264">
        <v>0</v>
      </c>
      <c r="Q43" s="264">
        <v>0</v>
      </c>
      <c r="R43" s="264">
        <v>0</v>
      </c>
      <c r="S43" s="264">
        <v>0</v>
      </c>
      <c r="T43" s="264">
        <v>0</v>
      </c>
      <c r="U43" s="172">
        <f>SUM(B43:T43)</f>
        <v>4342</v>
      </c>
      <c r="V43" s="158"/>
      <c r="W43" s="150"/>
      <c r="X43" s="150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246"/>
      <c r="BG43" s="246"/>
      <c r="BH43" s="246"/>
      <c r="BI43" s="246"/>
      <c r="BJ43" s="246"/>
      <c r="BK43" s="246"/>
      <c r="BL43" s="246"/>
      <c r="BM43" s="246"/>
      <c r="BN43" s="246"/>
    </row>
    <row r="44" spans="1:66" ht="12">
      <c r="A44" s="245" t="s">
        <v>115</v>
      </c>
      <c r="B44" s="264">
        <v>0</v>
      </c>
      <c r="C44" s="264">
        <v>4</v>
      </c>
      <c r="D44" s="264">
        <v>0</v>
      </c>
      <c r="E44" s="264">
        <v>0</v>
      </c>
      <c r="F44" s="264">
        <v>0</v>
      </c>
      <c r="G44" s="264">
        <v>154</v>
      </c>
      <c r="H44" s="264">
        <v>644</v>
      </c>
      <c r="I44" s="264">
        <v>262</v>
      </c>
      <c r="J44" s="264">
        <v>0</v>
      </c>
      <c r="K44" s="264">
        <v>0</v>
      </c>
      <c r="L44" s="264">
        <v>295</v>
      </c>
      <c r="M44" s="264">
        <v>90</v>
      </c>
      <c r="N44" s="264">
        <v>0</v>
      </c>
      <c r="O44" s="264">
        <v>0</v>
      </c>
      <c r="P44" s="264">
        <v>0</v>
      </c>
      <c r="Q44" s="264">
        <v>0</v>
      </c>
      <c r="R44" s="264">
        <v>0</v>
      </c>
      <c r="S44" s="264">
        <v>0</v>
      </c>
      <c r="T44" s="264">
        <v>0</v>
      </c>
      <c r="U44" s="172">
        <f>SUM(B44:T44)</f>
        <v>1449</v>
      </c>
      <c r="V44" s="158"/>
      <c r="W44" s="150"/>
      <c r="X44" s="150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6"/>
      <c r="BC44" s="246"/>
      <c r="BD44" s="246"/>
      <c r="BE44" s="246"/>
      <c r="BF44" s="246"/>
      <c r="BG44" s="246"/>
      <c r="BH44" s="246"/>
      <c r="BI44" s="246"/>
      <c r="BJ44" s="246"/>
      <c r="BK44" s="246"/>
      <c r="BL44" s="246"/>
      <c r="BM44" s="246"/>
      <c r="BN44" s="246"/>
    </row>
    <row r="45" spans="1:66" ht="12">
      <c r="A45" s="245" t="s">
        <v>107</v>
      </c>
      <c r="B45" s="217">
        <f aca="true" t="shared" si="17" ref="B45:U45">+B43+B44</f>
        <v>0</v>
      </c>
      <c r="C45" s="217">
        <f t="shared" si="17"/>
        <v>261</v>
      </c>
      <c r="D45" s="217">
        <f t="shared" si="17"/>
        <v>0</v>
      </c>
      <c r="E45" s="217">
        <f t="shared" si="17"/>
        <v>0</v>
      </c>
      <c r="F45" s="217">
        <f t="shared" si="17"/>
        <v>0</v>
      </c>
      <c r="G45" s="217">
        <f t="shared" si="17"/>
        <v>681</v>
      </c>
      <c r="H45" s="217">
        <f t="shared" si="17"/>
        <v>2587</v>
      </c>
      <c r="I45" s="217">
        <f t="shared" si="17"/>
        <v>526</v>
      </c>
      <c r="J45" s="217">
        <f t="shared" si="17"/>
        <v>0</v>
      </c>
      <c r="K45" s="217">
        <f t="shared" si="17"/>
        <v>0</v>
      </c>
      <c r="L45" s="217">
        <f t="shared" si="17"/>
        <v>1407</v>
      </c>
      <c r="M45" s="217">
        <f t="shared" si="17"/>
        <v>302</v>
      </c>
      <c r="N45" s="217">
        <f t="shared" si="17"/>
        <v>0</v>
      </c>
      <c r="O45" s="217">
        <f t="shared" si="17"/>
        <v>27</v>
      </c>
      <c r="P45" s="217">
        <f t="shared" si="17"/>
        <v>0</v>
      </c>
      <c r="Q45" s="217">
        <f t="shared" si="17"/>
        <v>0</v>
      </c>
      <c r="R45" s="217">
        <f t="shared" si="17"/>
        <v>0</v>
      </c>
      <c r="S45" s="217">
        <f t="shared" si="17"/>
        <v>0</v>
      </c>
      <c r="T45" s="217">
        <f t="shared" si="17"/>
        <v>0</v>
      </c>
      <c r="U45" s="217">
        <f t="shared" si="17"/>
        <v>5791</v>
      </c>
      <c r="V45" s="158"/>
      <c r="W45" s="150"/>
      <c r="X45" s="150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</row>
    <row r="46" spans="1:38" ht="12">
      <c r="A46" s="244" t="s">
        <v>112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51"/>
      <c r="V46" s="150"/>
      <c r="W46" s="150"/>
      <c r="X46" s="150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</row>
    <row r="47" spans="1:24" ht="12">
      <c r="A47" s="245" t="s">
        <v>105</v>
      </c>
      <c r="B47" s="223">
        <f>+B43+B39+B35+B31</f>
        <v>959</v>
      </c>
      <c r="C47" s="223">
        <f aca="true" t="shared" si="18" ref="C47:U48">+C43+C39+C35+C31</f>
        <v>326</v>
      </c>
      <c r="D47" s="223">
        <f t="shared" si="18"/>
        <v>433</v>
      </c>
      <c r="E47" s="223">
        <f t="shared" si="18"/>
        <v>144</v>
      </c>
      <c r="F47" s="223">
        <f t="shared" si="18"/>
        <v>2689</v>
      </c>
      <c r="G47" s="223">
        <f t="shared" si="18"/>
        <v>830</v>
      </c>
      <c r="H47" s="223">
        <f t="shared" si="18"/>
        <v>2246</v>
      </c>
      <c r="I47" s="223">
        <f t="shared" si="18"/>
        <v>5540</v>
      </c>
      <c r="J47" s="223">
        <f t="shared" si="18"/>
        <v>3210</v>
      </c>
      <c r="K47" s="223">
        <f t="shared" si="18"/>
        <v>355</v>
      </c>
      <c r="L47" s="223">
        <f t="shared" si="18"/>
        <v>1910</v>
      </c>
      <c r="M47" s="223">
        <f t="shared" si="18"/>
        <v>272</v>
      </c>
      <c r="N47" s="223">
        <f t="shared" si="18"/>
        <v>340</v>
      </c>
      <c r="O47" s="223">
        <f t="shared" si="18"/>
        <v>364</v>
      </c>
      <c r="P47" s="223">
        <f t="shared" si="18"/>
        <v>2327</v>
      </c>
      <c r="Q47" s="223">
        <f t="shared" si="18"/>
        <v>982</v>
      </c>
      <c r="R47" s="223">
        <f t="shared" si="18"/>
        <v>1811</v>
      </c>
      <c r="S47" s="223">
        <f t="shared" si="18"/>
        <v>467</v>
      </c>
      <c r="T47" s="223">
        <f t="shared" si="18"/>
        <v>114</v>
      </c>
      <c r="U47" s="223">
        <f t="shared" si="18"/>
        <v>25319</v>
      </c>
      <c r="V47" s="181"/>
      <c r="W47" s="181"/>
      <c r="X47" s="181"/>
    </row>
    <row r="48" spans="1:24" ht="12">
      <c r="A48" s="245" t="s">
        <v>115</v>
      </c>
      <c r="B48" s="223">
        <f>+B44+B40+B36+B32</f>
        <v>316</v>
      </c>
      <c r="C48" s="223">
        <f t="shared" si="18"/>
        <v>22</v>
      </c>
      <c r="D48" s="223">
        <f t="shared" si="18"/>
        <v>63</v>
      </c>
      <c r="E48" s="223">
        <f t="shared" si="18"/>
        <v>87</v>
      </c>
      <c r="F48" s="223">
        <f t="shared" si="18"/>
        <v>1183</v>
      </c>
      <c r="G48" s="223">
        <f t="shared" si="18"/>
        <v>237</v>
      </c>
      <c r="H48" s="223">
        <f t="shared" si="18"/>
        <v>1084</v>
      </c>
      <c r="I48" s="223">
        <f t="shared" si="18"/>
        <v>2990</v>
      </c>
      <c r="J48" s="223">
        <f t="shared" si="18"/>
        <v>1384</v>
      </c>
      <c r="K48" s="223">
        <f t="shared" si="18"/>
        <v>192</v>
      </c>
      <c r="L48" s="223">
        <f t="shared" si="18"/>
        <v>601</v>
      </c>
      <c r="M48" s="223">
        <f t="shared" si="18"/>
        <v>129</v>
      </c>
      <c r="N48" s="223">
        <f t="shared" si="18"/>
        <v>99</v>
      </c>
      <c r="O48" s="223">
        <f t="shared" si="18"/>
        <v>206</v>
      </c>
      <c r="P48" s="223">
        <f t="shared" si="18"/>
        <v>905</v>
      </c>
      <c r="Q48" s="223">
        <f t="shared" si="18"/>
        <v>109</v>
      </c>
      <c r="R48" s="223">
        <f t="shared" si="18"/>
        <v>690</v>
      </c>
      <c r="S48" s="223">
        <f t="shared" si="18"/>
        <v>102</v>
      </c>
      <c r="T48" s="223">
        <f t="shared" si="18"/>
        <v>9</v>
      </c>
      <c r="U48" s="223">
        <f t="shared" si="18"/>
        <v>10408</v>
      </c>
      <c r="V48" s="181"/>
      <c r="W48" s="181"/>
      <c r="X48" s="181"/>
    </row>
    <row r="49" spans="1:80" ht="12">
      <c r="A49" s="245" t="s">
        <v>107</v>
      </c>
      <c r="B49" s="217">
        <f aca="true" t="shared" si="19" ref="B49:U49">+B47+B48</f>
        <v>1275</v>
      </c>
      <c r="C49" s="217">
        <f>+C47+C48</f>
        <v>348</v>
      </c>
      <c r="D49" s="217">
        <f t="shared" si="19"/>
        <v>496</v>
      </c>
      <c r="E49" s="217">
        <f t="shared" si="19"/>
        <v>231</v>
      </c>
      <c r="F49" s="217">
        <f t="shared" si="19"/>
        <v>3872</v>
      </c>
      <c r="G49" s="217">
        <f t="shared" si="19"/>
        <v>1067</v>
      </c>
      <c r="H49" s="217">
        <f t="shared" si="19"/>
        <v>3330</v>
      </c>
      <c r="I49" s="217">
        <f t="shared" si="19"/>
        <v>8530</v>
      </c>
      <c r="J49" s="217">
        <f t="shared" si="19"/>
        <v>4594</v>
      </c>
      <c r="K49" s="217">
        <f t="shared" si="19"/>
        <v>547</v>
      </c>
      <c r="L49" s="217">
        <f t="shared" si="19"/>
        <v>2511</v>
      </c>
      <c r="M49" s="217">
        <f t="shared" si="19"/>
        <v>401</v>
      </c>
      <c r="N49" s="217">
        <f t="shared" si="19"/>
        <v>439</v>
      </c>
      <c r="O49" s="217">
        <f t="shared" si="19"/>
        <v>570</v>
      </c>
      <c r="P49" s="217">
        <f t="shared" si="19"/>
        <v>3232</v>
      </c>
      <c r="Q49" s="217">
        <f t="shared" si="19"/>
        <v>1091</v>
      </c>
      <c r="R49" s="217">
        <f t="shared" si="19"/>
        <v>2501</v>
      </c>
      <c r="S49" s="217">
        <f t="shared" si="19"/>
        <v>569</v>
      </c>
      <c r="T49" s="217">
        <f t="shared" si="19"/>
        <v>123</v>
      </c>
      <c r="U49" s="217">
        <f t="shared" si="19"/>
        <v>35727</v>
      </c>
      <c r="V49" s="158"/>
      <c r="W49" s="150"/>
      <c r="X49" s="150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6"/>
      <c r="AU49" s="246"/>
      <c r="AV49" s="246"/>
      <c r="AW49" s="246"/>
      <c r="AX49" s="246"/>
      <c r="AY49" s="246"/>
      <c r="AZ49" s="246"/>
      <c r="BA49" s="246"/>
      <c r="BB49" s="246"/>
      <c r="BC49" s="246"/>
      <c r="BD49" s="246"/>
      <c r="BE49" s="246"/>
      <c r="BF49" s="246"/>
      <c r="BG49" s="246"/>
      <c r="BH49" s="246"/>
      <c r="BI49" s="246"/>
      <c r="BJ49" s="246"/>
      <c r="BK49" s="246"/>
      <c r="BL49" s="246"/>
      <c r="BM49" s="246"/>
      <c r="BN49" s="246"/>
      <c r="BO49" s="246"/>
      <c r="BP49" s="246"/>
      <c r="BQ49" s="246"/>
      <c r="BR49" s="246"/>
      <c r="BS49" s="246"/>
      <c r="BT49" s="246"/>
      <c r="BU49" s="246"/>
      <c r="BV49" s="246"/>
      <c r="BW49" s="246"/>
      <c r="BX49" s="246"/>
      <c r="BY49" s="246"/>
      <c r="BZ49" s="246"/>
      <c r="CA49" s="246"/>
      <c r="CB49" s="246"/>
    </row>
    <row r="50" spans="2:21" s="135" customFormat="1" ht="12">
      <c r="B50" s="218"/>
      <c r="C50" s="218"/>
      <c r="E50" s="218"/>
      <c r="F50" s="218"/>
      <c r="G50" s="218"/>
      <c r="H50" s="218"/>
      <c r="I50" s="218"/>
      <c r="J50" s="218"/>
      <c r="K50" s="218" t="s">
        <v>65</v>
      </c>
      <c r="L50" s="218"/>
      <c r="M50" s="218"/>
      <c r="N50" s="218"/>
      <c r="O50" s="218"/>
      <c r="P50" s="252"/>
      <c r="Q50" s="218"/>
      <c r="R50" s="218"/>
      <c r="S50" s="218"/>
      <c r="T50" s="218"/>
      <c r="U50" s="218"/>
    </row>
    <row r="51" spans="1:66" s="120" customFormat="1" ht="12">
      <c r="A51" s="244" t="s">
        <v>104</v>
      </c>
      <c r="B51" s="215"/>
      <c r="C51" s="215"/>
      <c r="D51" s="169"/>
      <c r="E51" s="169"/>
      <c r="F51" s="169"/>
      <c r="G51" s="169"/>
      <c r="H51" s="215"/>
      <c r="I51" s="169"/>
      <c r="J51" s="169"/>
      <c r="K51" s="215"/>
      <c r="L51" s="169"/>
      <c r="M51" s="169"/>
      <c r="N51" s="169"/>
      <c r="O51" s="169"/>
      <c r="P51" s="169"/>
      <c r="Q51" s="169"/>
      <c r="R51" s="215"/>
      <c r="S51" s="215"/>
      <c r="T51" s="215"/>
      <c r="U51" s="172"/>
      <c r="V51" s="150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</row>
    <row r="52" spans="1:66" ht="12">
      <c r="A52" s="245" t="s">
        <v>105</v>
      </c>
      <c r="B52" s="264">
        <v>0</v>
      </c>
      <c r="C52" s="264"/>
      <c r="D52" s="264">
        <v>0</v>
      </c>
      <c r="E52" s="264">
        <v>0</v>
      </c>
      <c r="F52" s="264">
        <v>0</v>
      </c>
      <c r="G52" s="264">
        <v>3</v>
      </c>
      <c r="H52" s="264">
        <v>1</v>
      </c>
      <c r="I52" s="264">
        <v>0</v>
      </c>
      <c r="J52" s="264">
        <v>1</v>
      </c>
      <c r="K52" s="264">
        <v>0</v>
      </c>
      <c r="L52" s="264">
        <v>0</v>
      </c>
      <c r="M52" s="264">
        <v>0</v>
      </c>
      <c r="N52" s="264">
        <v>0</v>
      </c>
      <c r="O52" s="264">
        <v>333</v>
      </c>
      <c r="P52" s="264">
        <v>0</v>
      </c>
      <c r="Q52" s="264">
        <v>0</v>
      </c>
      <c r="R52" s="264">
        <v>1</v>
      </c>
      <c r="S52" s="264">
        <v>0</v>
      </c>
      <c r="T52" s="264">
        <v>0</v>
      </c>
      <c r="U52" s="172">
        <f>SUM(B52:T52)</f>
        <v>339</v>
      </c>
      <c r="V52" s="150"/>
      <c r="W52" s="150"/>
      <c r="X52" s="150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246"/>
      <c r="BC52" s="246"/>
      <c r="BD52" s="246"/>
      <c r="BE52" s="246"/>
      <c r="BF52" s="246"/>
      <c r="BG52" s="246"/>
      <c r="BH52" s="246"/>
      <c r="BI52" s="246"/>
      <c r="BJ52" s="246"/>
      <c r="BK52" s="246"/>
      <c r="BL52" s="246"/>
      <c r="BM52" s="246"/>
      <c r="BN52" s="246"/>
    </row>
    <row r="53" spans="1:66" ht="12">
      <c r="A53" s="245" t="s">
        <v>115</v>
      </c>
      <c r="B53" s="264">
        <v>11</v>
      </c>
      <c r="C53" s="264"/>
      <c r="D53" s="264">
        <v>2</v>
      </c>
      <c r="E53" s="264">
        <v>51</v>
      </c>
      <c r="F53" s="264">
        <v>72</v>
      </c>
      <c r="G53" s="264">
        <v>59</v>
      </c>
      <c r="H53" s="264">
        <v>366</v>
      </c>
      <c r="I53" s="264">
        <v>61</v>
      </c>
      <c r="J53" s="264">
        <v>338</v>
      </c>
      <c r="K53" s="264">
        <v>83</v>
      </c>
      <c r="L53" s="264">
        <v>41</v>
      </c>
      <c r="M53" s="264">
        <v>22</v>
      </c>
      <c r="N53" s="264">
        <v>40</v>
      </c>
      <c r="O53" s="264">
        <v>604</v>
      </c>
      <c r="P53" s="264">
        <v>62</v>
      </c>
      <c r="Q53" s="264">
        <v>20</v>
      </c>
      <c r="R53" s="264">
        <v>146</v>
      </c>
      <c r="S53" s="264">
        <v>7</v>
      </c>
      <c r="T53" s="264">
        <v>3</v>
      </c>
      <c r="U53" s="172">
        <f>SUM(B53:T53)</f>
        <v>1988</v>
      </c>
      <c r="V53" s="150"/>
      <c r="W53" s="150"/>
      <c r="X53" s="150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  <c r="BB53" s="246"/>
      <c r="BC53" s="246"/>
      <c r="BD53" s="246"/>
      <c r="BE53" s="246"/>
      <c r="BF53" s="246"/>
      <c r="BG53" s="246"/>
      <c r="BH53" s="246"/>
      <c r="BI53" s="246"/>
      <c r="BJ53" s="246"/>
      <c r="BK53" s="246"/>
      <c r="BL53" s="246"/>
      <c r="BM53" s="246"/>
      <c r="BN53" s="246"/>
    </row>
    <row r="54" spans="1:66" ht="12">
      <c r="A54" s="245" t="s">
        <v>107</v>
      </c>
      <c r="B54" s="217">
        <f aca="true" t="shared" si="20" ref="B54:U54">+B52+B53</f>
        <v>11</v>
      </c>
      <c r="C54" s="217">
        <f t="shared" si="20"/>
        <v>0</v>
      </c>
      <c r="D54" s="217">
        <f t="shared" si="20"/>
        <v>2</v>
      </c>
      <c r="E54" s="217">
        <f t="shared" si="20"/>
        <v>51</v>
      </c>
      <c r="F54" s="217">
        <f t="shared" si="20"/>
        <v>72</v>
      </c>
      <c r="G54" s="217">
        <f t="shared" si="20"/>
        <v>62</v>
      </c>
      <c r="H54" s="217">
        <f t="shared" si="20"/>
        <v>367</v>
      </c>
      <c r="I54" s="217">
        <f t="shared" si="20"/>
        <v>61</v>
      </c>
      <c r="J54" s="217">
        <f t="shared" si="20"/>
        <v>339</v>
      </c>
      <c r="K54" s="217">
        <f t="shared" si="20"/>
        <v>83</v>
      </c>
      <c r="L54" s="217">
        <f t="shared" si="20"/>
        <v>41</v>
      </c>
      <c r="M54" s="217">
        <f t="shared" si="20"/>
        <v>22</v>
      </c>
      <c r="N54" s="217">
        <f t="shared" si="20"/>
        <v>40</v>
      </c>
      <c r="O54" s="217">
        <f t="shared" si="20"/>
        <v>937</v>
      </c>
      <c r="P54" s="217">
        <f t="shared" si="20"/>
        <v>62</v>
      </c>
      <c r="Q54" s="217">
        <f t="shared" si="20"/>
        <v>20</v>
      </c>
      <c r="R54" s="217">
        <f t="shared" si="20"/>
        <v>147</v>
      </c>
      <c r="S54" s="217">
        <f t="shared" si="20"/>
        <v>7</v>
      </c>
      <c r="T54" s="217">
        <f t="shared" si="20"/>
        <v>3</v>
      </c>
      <c r="U54" s="217">
        <f t="shared" si="20"/>
        <v>2327</v>
      </c>
      <c r="V54" s="158"/>
      <c r="W54" s="150"/>
      <c r="X54" s="150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  <c r="BG54" s="246"/>
      <c r="BH54" s="246"/>
      <c r="BI54" s="246"/>
      <c r="BJ54" s="246"/>
      <c r="BK54" s="246"/>
      <c r="BL54" s="246"/>
      <c r="BM54" s="246"/>
      <c r="BN54" s="246"/>
    </row>
    <row r="55" spans="1:66" s="250" customFormat="1" ht="12">
      <c r="A55" s="244" t="s">
        <v>109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9"/>
      <c r="S55" s="163"/>
      <c r="T55" s="163"/>
      <c r="U55" s="172"/>
      <c r="V55" s="164"/>
      <c r="W55" s="150"/>
      <c r="X55" s="150"/>
      <c r="Y55" s="249"/>
      <c r="Z55" s="249"/>
      <c r="AA55" s="249"/>
      <c r="AB55" s="249"/>
      <c r="AC55" s="249"/>
      <c r="AD55" s="249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249"/>
      <c r="AU55" s="249"/>
      <c r="AV55" s="249"/>
      <c r="AW55" s="249"/>
      <c r="AX55" s="249"/>
      <c r="AY55" s="249"/>
      <c r="AZ55" s="249"/>
      <c r="BA55" s="249"/>
      <c r="BB55" s="249"/>
      <c r="BC55" s="249"/>
      <c r="BD55" s="249"/>
      <c r="BE55" s="249"/>
      <c r="BF55" s="249"/>
      <c r="BG55" s="249"/>
      <c r="BH55" s="249"/>
      <c r="BI55" s="249"/>
      <c r="BJ55" s="249"/>
      <c r="BK55" s="249"/>
      <c r="BL55" s="249"/>
      <c r="BM55" s="249"/>
      <c r="BN55" s="249"/>
    </row>
    <row r="56" spans="1:66" ht="13.5" customHeight="1">
      <c r="A56" s="245" t="s">
        <v>105</v>
      </c>
      <c r="B56" s="264">
        <v>597</v>
      </c>
      <c r="C56" s="264">
        <v>59</v>
      </c>
      <c r="D56" s="264">
        <v>207</v>
      </c>
      <c r="E56" s="264">
        <v>284</v>
      </c>
      <c r="F56" s="264">
        <v>1923</v>
      </c>
      <c r="G56" s="264">
        <v>440</v>
      </c>
      <c r="H56" s="264">
        <v>492</v>
      </c>
      <c r="I56" s="264">
        <v>1395</v>
      </c>
      <c r="J56" s="264">
        <v>4050</v>
      </c>
      <c r="K56" s="264">
        <v>1289</v>
      </c>
      <c r="L56" s="264">
        <v>1751</v>
      </c>
      <c r="M56" s="264">
        <v>50</v>
      </c>
      <c r="N56" s="264">
        <v>578</v>
      </c>
      <c r="O56" s="264">
        <v>1779</v>
      </c>
      <c r="P56" s="264">
        <v>1185</v>
      </c>
      <c r="Q56" s="264">
        <v>314</v>
      </c>
      <c r="R56" s="264">
        <v>2175</v>
      </c>
      <c r="S56" s="264">
        <v>401</v>
      </c>
      <c r="T56" s="264">
        <v>444</v>
      </c>
      <c r="U56" s="172">
        <f>SUM(B56:T56)</f>
        <v>19413</v>
      </c>
      <c r="V56" s="167"/>
      <c r="W56" s="167"/>
      <c r="X56" s="167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  <c r="BA56" s="246"/>
      <c r="BB56" s="246"/>
      <c r="BC56" s="246"/>
      <c r="BD56" s="246"/>
      <c r="BE56" s="246"/>
      <c r="BF56" s="246"/>
      <c r="BG56" s="246"/>
      <c r="BH56" s="246"/>
      <c r="BI56" s="246"/>
      <c r="BJ56" s="246"/>
      <c r="BK56" s="246"/>
      <c r="BL56" s="246"/>
      <c r="BM56" s="246"/>
      <c r="BN56" s="246"/>
    </row>
    <row r="57" spans="1:38" ht="12">
      <c r="A57" s="245" t="s">
        <v>115</v>
      </c>
      <c r="B57" s="264">
        <v>133</v>
      </c>
      <c r="C57" s="264">
        <v>10</v>
      </c>
      <c r="D57" s="264">
        <v>20</v>
      </c>
      <c r="E57" s="264">
        <v>146</v>
      </c>
      <c r="F57" s="264">
        <v>843</v>
      </c>
      <c r="G57" s="264">
        <v>105</v>
      </c>
      <c r="H57" s="264">
        <v>279</v>
      </c>
      <c r="I57" s="264">
        <v>454</v>
      </c>
      <c r="J57" s="264">
        <v>1277</v>
      </c>
      <c r="K57" s="264">
        <v>623</v>
      </c>
      <c r="L57" s="264">
        <v>344</v>
      </c>
      <c r="M57" s="264">
        <v>10</v>
      </c>
      <c r="N57" s="264">
        <v>153</v>
      </c>
      <c r="O57" s="264">
        <v>722</v>
      </c>
      <c r="P57" s="264">
        <v>445</v>
      </c>
      <c r="Q57" s="264">
        <v>34</v>
      </c>
      <c r="R57" s="264">
        <v>576</v>
      </c>
      <c r="S57" s="264">
        <v>33</v>
      </c>
      <c r="T57" s="264">
        <v>20</v>
      </c>
      <c r="U57" s="172">
        <f>SUM(B57:T57)</f>
        <v>6227</v>
      </c>
      <c r="V57" s="167"/>
      <c r="W57" s="167"/>
      <c r="X57" s="167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</row>
    <row r="58" spans="1:66" ht="12">
      <c r="A58" s="245" t="s">
        <v>107</v>
      </c>
      <c r="B58" s="217">
        <f aca="true" t="shared" si="21" ref="B58:U58">+B56+B57</f>
        <v>730</v>
      </c>
      <c r="C58" s="217">
        <f t="shared" si="21"/>
        <v>69</v>
      </c>
      <c r="D58" s="217">
        <f t="shared" si="21"/>
        <v>227</v>
      </c>
      <c r="E58" s="217">
        <f t="shared" si="21"/>
        <v>430</v>
      </c>
      <c r="F58" s="217">
        <f t="shared" si="21"/>
        <v>2766</v>
      </c>
      <c r="G58" s="217">
        <f t="shared" si="21"/>
        <v>545</v>
      </c>
      <c r="H58" s="217">
        <f>+H56+H57</f>
        <v>771</v>
      </c>
      <c r="I58" s="217">
        <f t="shared" si="21"/>
        <v>1849</v>
      </c>
      <c r="J58" s="217">
        <f t="shared" si="21"/>
        <v>5327</v>
      </c>
      <c r="K58" s="217">
        <f t="shared" si="21"/>
        <v>1912</v>
      </c>
      <c r="L58" s="217">
        <f t="shared" si="21"/>
        <v>2095</v>
      </c>
      <c r="M58" s="217">
        <f t="shared" si="21"/>
        <v>60</v>
      </c>
      <c r="N58" s="217">
        <f>+N56+N57</f>
        <v>731</v>
      </c>
      <c r="O58" s="217">
        <f t="shared" si="21"/>
        <v>2501</v>
      </c>
      <c r="P58" s="217">
        <f t="shared" si="21"/>
        <v>1630</v>
      </c>
      <c r="Q58" s="217">
        <f t="shared" si="21"/>
        <v>348</v>
      </c>
      <c r="R58" s="217">
        <f t="shared" si="21"/>
        <v>2751</v>
      </c>
      <c r="S58" s="217">
        <f t="shared" si="21"/>
        <v>434</v>
      </c>
      <c r="T58" s="217">
        <f t="shared" si="21"/>
        <v>464</v>
      </c>
      <c r="U58" s="217">
        <f t="shared" si="21"/>
        <v>25640</v>
      </c>
      <c r="V58" s="158"/>
      <c r="W58" s="150"/>
      <c r="X58" s="150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6"/>
      <c r="BF58" s="246"/>
      <c r="BG58" s="246"/>
      <c r="BH58" s="246"/>
      <c r="BI58" s="246"/>
      <c r="BJ58" s="246"/>
      <c r="BK58" s="246"/>
      <c r="BL58" s="246"/>
      <c r="BM58" s="246"/>
      <c r="BN58" s="246"/>
    </row>
    <row r="59" spans="1:38" ht="24">
      <c r="A59" s="244" t="s">
        <v>117</v>
      </c>
      <c r="B59" s="169"/>
      <c r="C59" s="170"/>
      <c r="D59" s="170"/>
      <c r="E59" s="170"/>
      <c r="F59" s="169"/>
      <c r="G59" s="169"/>
      <c r="H59" s="171"/>
      <c r="I59" s="169"/>
      <c r="J59" s="172"/>
      <c r="K59" s="170"/>
      <c r="L59" s="172"/>
      <c r="M59" s="172"/>
      <c r="N59" s="170"/>
      <c r="O59" s="169"/>
      <c r="P59" s="172"/>
      <c r="Q59" s="170"/>
      <c r="R59" s="169"/>
      <c r="S59" s="169"/>
      <c r="T59" s="169"/>
      <c r="U59" s="172"/>
      <c r="V59" s="171"/>
      <c r="W59" s="171"/>
      <c r="X59" s="171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</row>
    <row r="60" spans="1:38" ht="12">
      <c r="A60" s="245" t="s">
        <v>105</v>
      </c>
      <c r="B60" s="264">
        <v>90</v>
      </c>
      <c r="C60" s="264">
        <v>0</v>
      </c>
      <c r="D60" s="264">
        <v>48</v>
      </c>
      <c r="E60" s="264">
        <v>160</v>
      </c>
      <c r="F60" s="264">
        <v>750</v>
      </c>
      <c r="G60" s="264">
        <v>293</v>
      </c>
      <c r="H60" s="264">
        <v>0</v>
      </c>
      <c r="I60" s="264">
        <v>567</v>
      </c>
      <c r="J60" s="264">
        <v>1601</v>
      </c>
      <c r="K60" s="264">
        <v>426</v>
      </c>
      <c r="L60" s="264">
        <v>87</v>
      </c>
      <c r="M60" s="264">
        <v>24</v>
      </c>
      <c r="N60" s="264">
        <v>485</v>
      </c>
      <c r="O60" s="264">
        <v>542</v>
      </c>
      <c r="P60" s="264">
        <v>416</v>
      </c>
      <c r="Q60" s="264">
        <v>83</v>
      </c>
      <c r="R60" s="264">
        <v>847</v>
      </c>
      <c r="S60" s="264">
        <v>107</v>
      </c>
      <c r="T60" s="264">
        <v>169</v>
      </c>
      <c r="U60" s="172">
        <f>SUM(B60:T60)</f>
        <v>6695</v>
      </c>
      <c r="V60" s="150"/>
      <c r="W60" s="150"/>
      <c r="X60" s="150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</row>
    <row r="61" spans="1:38" ht="12">
      <c r="A61" s="245" t="s">
        <v>115</v>
      </c>
      <c r="B61" s="264">
        <v>24</v>
      </c>
      <c r="C61" s="264">
        <v>0</v>
      </c>
      <c r="D61" s="264">
        <v>7</v>
      </c>
      <c r="E61" s="264">
        <v>51</v>
      </c>
      <c r="F61" s="264">
        <v>140</v>
      </c>
      <c r="G61" s="264">
        <v>34</v>
      </c>
      <c r="H61" s="264">
        <v>18</v>
      </c>
      <c r="I61" s="264">
        <v>173</v>
      </c>
      <c r="J61" s="264">
        <v>462</v>
      </c>
      <c r="K61" s="264">
        <v>101</v>
      </c>
      <c r="L61" s="264">
        <v>5</v>
      </c>
      <c r="M61" s="264">
        <v>16</v>
      </c>
      <c r="N61" s="264">
        <v>101</v>
      </c>
      <c r="O61" s="264">
        <v>237</v>
      </c>
      <c r="P61" s="264">
        <v>87</v>
      </c>
      <c r="Q61" s="264">
        <v>3</v>
      </c>
      <c r="R61" s="264">
        <v>177</v>
      </c>
      <c r="S61" s="264">
        <v>48</v>
      </c>
      <c r="T61" s="264">
        <v>31</v>
      </c>
      <c r="U61" s="172">
        <f>SUM(B61:T61)</f>
        <v>1715</v>
      </c>
      <c r="V61" s="164"/>
      <c r="W61" s="164"/>
      <c r="X61" s="164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</row>
    <row r="62" spans="1:66" ht="12">
      <c r="A62" s="245" t="s">
        <v>107</v>
      </c>
      <c r="B62" s="217">
        <f aca="true" t="shared" si="22" ref="B62:H62">+B60+B61</f>
        <v>114</v>
      </c>
      <c r="C62" s="217">
        <f t="shared" si="22"/>
        <v>0</v>
      </c>
      <c r="D62" s="217">
        <f t="shared" si="22"/>
        <v>55</v>
      </c>
      <c r="E62" s="217">
        <f t="shared" si="22"/>
        <v>211</v>
      </c>
      <c r="F62" s="217">
        <f t="shared" si="22"/>
        <v>890</v>
      </c>
      <c r="G62" s="217">
        <f t="shared" si="22"/>
        <v>327</v>
      </c>
      <c r="H62" s="217">
        <f t="shared" si="22"/>
        <v>18</v>
      </c>
      <c r="I62" s="217">
        <f aca="true" t="shared" si="23" ref="I62:U62">+I60+I61</f>
        <v>740</v>
      </c>
      <c r="J62" s="217">
        <f t="shared" si="23"/>
        <v>2063</v>
      </c>
      <c r="K62" s="217">
        <f t="shared" si="23"/>
        <v>527</v>
      </c>
      <c r="L62" s="217">
        <f t="shared" si="23"/>
        <v>92</v>
      </c>
      <c r="M62" s="217">
        <f t="shared" si="23"/>
        <v>40</v>
      </c>
      <c r="N62" s="217">
        <f t="shared" si="23"/>
        <v>586</v>
      </c>
      <c r="O62" s="217">
        <f t="shared" si="23"/>
        <v>779</v>
      </c>
      <c r="P62" s="217">
        <f t="shared" si="23"/>
        <v>503</v>
      </c>
      <c r="Q62" s="217">
        <f t="shared" si="23"/>
        <v>86</v>
      </c>
      <c r="R62" s="217">
        <f t="shared" si="23"/>
        <v>1024</v>
      </c>
      <c r="S62" s="217">
        <f t="shared" si="23"/>
        <v>155</v>
      </c>
      <c r="T62" s="217">
        <f t="shared" si="23"/>
        <v>200</v>
      </c>
      <c r="U62" s="217">
        <f t="shared" si="23"/>
        <v>8410</v>
      </c>
      <c r="V62" s="158"/>
      <c r="W62" s="150"/>
      <c r="X62" s="150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  <c r="AM62" s="246"/>
      <c r="AN62" s="246"/>
      <c r="AO62" s="246"/>
      <c r="AP62" s="246"/>
      <c r="AQ62" s="246"/>
      <c r="AR62" s="246"/>
      <c r="AS62" s="246"/>
      <c r="AT62" s="246"/>
      <c r="AU62" s="246"/>
      <c r="AV62" s="246"/>
      <c r="AW62" s="246"/>
      <c r="AX62" s="246"/>
      <c r="AY62" s="246"/>
      <c r="AZ62" s="246"/>
      <c r="BA62" s="246"/>
      <c r="BB62" s="246"/>
      <c r="BC62" s="246"/>
      <c r="BD62" s="246"/>
      <c r="BE62" s="246"/>
      <c r="BF62" s="246"/>
      <c r="BG62" s="246"/>
      <c r="BH62" s="246"/>
      <c r="BI62" s="246"/>
      <c r="BJ62" s="246"/>
      <c r="BK62" s="246"/>
      <c r="BL62" s="246"/>
      <c r="BM62" s="246"/>
      <c r="BN62" s="246"/>
    </row>
    <row r="63" spans="1:38" ht="12">
      <c r="A63" s="244" t="s">
        <v>111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72"/>
      <c r="V63" s="163"/>
      <c r="W63" s="163"/>
      <c r="X63" s="163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</row>
    <row r="64" spans="1:38" ht="12">
      <c r="A64" s="245" t="s">
        <v>105</v>
      </c>
      <c r="B64" s="264">
        <v>0</v>
      </c>
      <c r="C64" s="264">
        <v>310</v>
      </c>
      <c r="D64" s="264">
        <v>0</v>
      </c>
      <c r="E64" s="264">
        <v>0</v>
      </c>
      <c r="F64" s="264">
        <v>0</v>
      </c>
      <c r="G64" s="264">
        <v>1455</v>
      </c>
      <c r="H64" s="264">
        <v>3002</v>
      </c>
      <c r="I64" s="264">
        <v>330</v>
      </c>
      <c r="J64" s="264">
        <v>0</v>
      </c>
      <c r="K64" s="264">
        <v>0</v>
      </c>
      <c r="L64" s="264">
        <v>1342</v>
      </c>
      <c r="M64" s="264">
        <v>511</v>
      </c>
      <c r="N64" s="264">
        <v>0</v>
      </c>
      <c r="O64" s="264">
        <v>521</v>
      </c>
      <c r="P64" s="264">
        <v>0</v>
      </c>
      <c r="Q64" s="264">
        <v>0</v>
      </c>
      <c r="R64" s="264">
        <v>0</v>
      </c>
      <c r="S64" s="264">
        <v>0</v>
      </c>
      <c r="T64" s="264">
        <v>0</v>
      </c>
      <c r="U64" s="172">
        <f>SUM(B64:T64)</f>
        <v>7471</v>
      </c>
      <c r="V64" s="177"/>
      <c r="W64" s="177"/>
      <c r="X64" s="177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</row>
    <row r="65" spans="1:38" ht="12">
      <c r="A65" s="245" t="s">
        <v>115</v>
      </c>
      <c r="B65" s="264">
        <v>0</v>
      </c>
      <c r="C65" s="264">
        <v>6</v>
      </c>
      <c r="D65" s="264">
        <v>0</v>
      </c>
      <c r="E65" s="264">
        <v>0</v>
      </c>
      <c r="F65" s="264">
        <v>0</v>
      </c>
      <c r="G65" s="264">
        <v>379</v>
      </c>
      <c r="H65" s="264">
        <v>926</v>
      </c>
      <c r="I65" s="264">
        <v>242</v>
      </c>
      <c r="J65" s="264">
        <v>0</v>
      </c>
      <c r="K65" s="264">
        <v>0</v>
      </c>
      <c r="L65" s="264">
        <v>374</v>
      </c>
      <c r="M65" s="264">
        <v>219</v>
      </c>
      <c r="N65" s="264">
        <v>0</v>
      </c>
      <c r="O65" s="264">
        <v>0</v>
      </c>
      <c r="P65" s="264">
        <v>0</v>
      </c>
      <c r="Q65" s="264">
        <v>0</v>
      </c>
      <c r="R65" s="264">
        <v>0</v>
      </c>
      <c r="S65" s="264">
        <v>0</v>
      </c>
      <c r="T65" s="264">
        <v>0</v>
      </c>
      <c r="U65" s="172">
        <f>SUM(B65:T65)</f>
        <v>2146</v>
      </c>
      <c r="V65" s="150"/>
      <c r="W65" s="150"/>
      <c r="X65" s="150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</row>
    <row r="66" spans="1:66" ht="12">
      <c r="A66" s="245" t="s">
        <v>107</v>
      </c>
      <c r="B66" s="217">
        <f aca="true" t="shared" si="24" ref="B66:U66">+B64+B65</f>
        <v>0</v>
      </c>
      <c r="C66" s="217">
        <f t="shared" si="24"/>
        <v>316</v>
      </c>
      <c r="D66" s="217">
        <f t="shared" si="24"/>
        <v>0</v>
      </c>
      <c r="E66" s="217">
        <f t="shared" si="24"/>
        <v>0</v>
      </c>
      <c r="F66" s="217">
        <f t="shared" si="24"/>
        <v>0</v>
      </c>
      <c r="G66" s="217">
        <f t="shared" si="24"/>
        <v>1834</v>
      </c>
      <c r="H66" s="217">
        <f t="shared" si="24"/>
        <v>3928</v>
      </c>
      <c r="I66" s="217">
        <f t="shared" si="24"/>
        <v>572</v>
      </c>
      <c r="J66" s="217">
        <f t="shared" si="24"/>
        <v>0</v>
      </c>
      <c r="K66" s="217">
        <f t="shared" si="24"/>
        <v>0</v>
      </c>
      <c r="L66" s="217">
        <f t="shared" si="24"/>
        <v>1716</v>
      </c>
      <c r="M66" s="217">
        <f t="shared" si="24"/>
        <v>730</v>
      </c>
      <c r="N66" s="217">
        <f t="shared" si="24"/>
        <v>0</v>
      </c>
      <c r="O66" s="217">
        <f t="shared" si="24"/>
        <v>521</v>
      </c>
      <c r="P66" s="217">
        <f t="shared" si="24"/>
        <v>0</v>
      </c>
      <c r="Q66" s="217">
        <f t="shared" si="24"/>
        <v>0</v>
      </c>
      <c r="R66" s="217">
        <f t="shared" si="24"/>
        <v>0</v>
      </c>
      <c r="S66" s="217">
        <f t="shared" si="24"/>
        <v>0</v>
      </c>
      <c r="T66" s="217">
        <f t="shared" si="24"/>
        <v>0</v>
      </c>
      <c r="U66" s="217">
        <f t="shared" si="24"/>
        <v>9617</v>
      </c>
      <c r="V66" s="158"/>
      <c r="W66" s="150"/>
      <c r="X66" s="150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  <c r="AM66" s="246"/>
      <c r="AN66" s="246"/>
      <c r="AO66" s="246"/>
      <c r="AP66" s="246"/>
      <c r="AQ66" s="246"/>
      <c r="AR66" s="246"/>
      <c r="AS66" s="246"/>
      <c r="AT66" s="246"/>
      <c r="AU66" s="246"/>
      <c r="AV66" s="246"/>
      <c r="AW66" s="246"/>
      <c r="AX66" s="246"/>
      <c r="AY66" s="246"/>
      <c r="AZ66" s="246"/>
      <c r="BA66" s="246"/>
      <c r="BB66" s="246"/>
      <c r="BC66" s="246"/>
      <c r="BD66" s="246"/>
      <c r="BE66" s="246"/>
      <c r="BF66" s="246"/>
      <c r="BG66" s="246"/>
      <c r="BH66" s="246"/>
      <c r="BI66" s="246"/>
      <c r="BJ66" s="246"/>
      <c r="BK66" s="246"/>
      <c r="BL66" s="246"/>
      <c r="BM66" s="246"/>
      <c r="BN66" s="246"/>
    </row>
    <row r="67" spans="1:38" ht="12">
      <c r="A67" s="244" t="s">
        <v>112</v>
      </c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51"/>
      <c r="V67" s="150"/>
      <c r="W67" s="150"/>
      <c r="X67" s="150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</row>
    <row r="68" spans="1:24" ht="12">
      <c r="A68" s="245" t="s">
        <v>105</v>
      </c>
      <c r="B68" s="223">
        <f>+B64+B60+B56+B52</f>
        <v>687</v>
      </c>
      <c r="C68" s="223">
        <f aca="true" t="shared" si="25" ref="C68:U68">+C64+C60+C56+C52</f>
        <v>369</v>
      </c>
      <c r="D68" s="223">
        <f t="shared" si="25"/>
        <v>255</v>
      </c>
      <c r="E68" s="223">
        <f t="shared" si="25"/>
        <v>444</v>
      </c>
      <c r="F68" s="223">
        <f t="shared" si="25"/>
        <v>2673</v>
      </c>
      <c r="G68" s="223">
        <f t="shared" si="25"/>
        <v>2191</v>
      </c>
      <c r="H68" s="223">
        <f t="shared" si="25"/>
        <v>3495</v>
      </c>
      <c r="I68" s="223">
        <f t="shared" si="25"/>
        <v>2292</v>
      </c>
      <c r="J68" s="223">
        <f t="shared" si="25"/>
        <v>5652</v>
      </c>
      <c r="K68" s="223">
        <f t="shared" si="25"/>
        <v>1715</v>
      </c>
      <c r="L68" s="223">
        <f t="shared" si="25"/>
        <v>3180</v>
      </c>
      <c r="M68" s="223">
        <f t="shared" si="25"/>
        <v>585</v>
      </c>
      <c r="N68" s="223">
        <f t="shared" si="25"/>
        <v>1063</v>
      </c>
      <c r="O68" s="223">
        <f t="shared" si="25"/>
        <v>3175</v>
      </c>
      <c r="P68" s="223">
        <f t="shared" si="25"/>
        <v>1601</v>
      </c>
      <c r="Q68" s="223">
        <f t="shared" si="25"/>
        <v>397</v>
      </c>
      <c r="R68" s="223">
        <f t="shared" si="25"/>
        <v>3023</v>
      </c>
      <c r="S68" s="223">
        <f t="shared" si="25"/>
        <v>508</v>
      </c>
      <c r="T68" s="223">
        <f t="shared" si="25"/>
        <v>613</v>
      </c>
      <c r="U68" s="223">
        <f t="shared" si="25"/>
        <v>33918</v>
      </c>
      <c r="V68" s="181"/>
      <c r="W68" s="181"/>
      <c r="X68" s="181"/>
    </row>
    <row r="69" spans="1:24" ht="12">
      <c r="A69" s="245" t="s">
        <v>115</v>
      </c>
      <c r="B69" s="223">
        <f aca="true" t="shared" si="26" ref="B69:U69">+B65+B61+B57+B53</f>
        <v>168</v>
      </c>
      <c r="C69" s="223">
        <f t="shared" si="26"/>
        <v>16</v>
      </c>
      <c r="D69" s="223">
        <f t="shared" si="26"/>
        <v>29</v>
      </c>
      <c r="E69" s="223">
        <f t="shared" si="26"/>
        <v>248</v>
      </c>
      <c r="F69" s="223">
        <f t="shared" si="26"/>
        <v>1055</v>
      </c>
      <c r="G69" s="223">
        <f t="shared" si="26"/>
        <v>577</v>
      </c>
      <c r="H69" s="223">
        <f t="shared" si="26"/>
        <v>1589</v>
      </c>
      <c r="I69" s="223">
        <f t="shared" si="26"/>
        <v>930</v>
      </c>
      <c r="J69" s="223">
        <f t="shared" si="26"/>
        <v>2077</v>
      </c>
      <c r="K69" s="223">
        <f t="shared" si="26"/>
        <v>807</v>
      </c>
      <c r="L69" s="223">
        <f t="shared" si="26"/>
        <v>764</v>
      </c>
      <c r="M69" s="223">
        <f t="shared" si="26"/>
        <v>267</v>
      </c>
      <c r="N69" s="223">
        <f t="shared" si="26"/>
        <v>294</v>
      </c>
      <c r="O69" s="223">
        <f t="shared" si="26"/>
        <v>1563</v>
      </c>
      <c r="P69" s="223">
        <f t="shared" si="26"/>
        <v>594</v>
      </c>
      <c r="Q69" s="223">
        <f t="shared" si="26"/>
        <v>57</v>
      </c>
      <c r="R69" s="223">
        <f t="shared" si="26"/>
        <v>899</v>
      </c>
      <c r="S69" s="223">
        <f t="shared" si="26"/>
        <v>88</v>
      </c>
      <c r="T69" s="223">
        <f t="shared" si="26"/>
        <v>54</v>
      </c>
      <c r="U69" s="223">
        <f t="shared" si="26"/>
        <v>12076</v>
      </c>
      <c r="V69" s="181"/>
      <c r="W69" s="181"/>
      <c r="X69" s="181"/>
    </row>
    <row r="70" spans="1:66" ht="12">
      <c r="A70" s="255" t="s">
        <v>107</v>
      </c>
      <c r="B70" s="221">
        <f aca="true" t="shared" si="27" ref="B70:U70">+B68+B69</f>
        <v>855</v>
      </c>
      <c r="C70" s="221">
        <f>+C68+C69</f>
        <v>385</v>
      </c>
      <c r="D70" s="221">
        <f t="shared" si="27"/>
        <v>284</v>
      </c>
      <c r="E70" s="221">
        <f t="shared" si="27"/>
        <v>692</v>
      </c>
      <c r="F70" s="221">
        <f t="shared" si="27"/>
        <v>3728</v>
      </c>
      <c r="G70" s="221">
        <f t="shared" si="27"/>
        <v>2768</v>
      </c>
      <c r="H70" s="221">
        <f t="shared" si="27"/>
        <v>5084</v>
      </c>
      <c r="I70" s="221">
        <f t="shared" si="27"/>
        <v>3222</v>
      </c>
      <c r="J70" s="221">
        <f t="shared" si="27"/>
        <v>7729</v>
      </c>
      <c r="K70" s="221">
        <f t="shared" si="27"/>
        <v>2522</v>
      </c>
      <c r="L70" s="221">
        <f t="shared" si="27"/>
        <v>3944</v>
      </c>
      <c r="M70" s="221">
        <f t="shared" si="27"/>
        <v>852</v>
      </c>
      <c r="N70" s="221">
        <f t="shared" si="27"/>
        <v>1357</v>
      </c>
      <c r="O70" s="221">
        <f t="shared" si="27"/>
        <v>4738</v>
      </c>
      <c r="P70" s="221">
        <f t="shared" si="27"/>
        <v>2195</v>
      </c>
      <c r="Q70" s="221">
        <f t="shared" si="27"/>
        <v>454</v>
      </c>
      <c r="R70" s="221">
        <f t="shared" si="27"/>
        <v>3922</v>
      </c>
      <c r="S70" s="221">
        <f t="shared" si="27"/>
        <v>596</v>
      </c>
      <c r="T70" s="221">
        <f t="shared" si="27"/>
        <v>667</v>
      </c>
      <c r="U70" s="221">
        <f t="shared" si="27"/>
        <v>45994</v>
      </c>
      <c r="V70" s="158"/>
      <c r="W70" s="150"/>
      <c r="X70" s="150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246"/>
      <c r="AM70" s="246"/>
      <c r="AN70" s="246"/>
      <c r="AO70" s="246"/>
      <c r="AP70" s="246"/>
      <c r="AQ70" s="246"/>
      <c r="AR70" s="246"/>
      <c r="AS70" s="246"/>
      <c r="AT70" s="246"/>
      <c r="AU70" s="246"/>
      <c r="AV70" s="246"/>
      <c r="AW70" s="246"/>
      <c r="AX70" s="246"/>
      <c r="AY70" s="246"/>
      <c r="AZ70" s="246"/>
      <c r="BA70" s="246"/>
      <c r="BB70" s="246"/>
      <c r="BC70" s="246"/>
      <c r="BD70" s="246"/>
      <c r="BE70" s="246"/>
      <c r="BF70" s="246"/>
      <c r="BG70" s="246"/>
      <c r="BH70" s="246"/>
      <c r="BI70" s="246"/>
      <c r="BJ70" s="246"/>
      <c r="BK70" s="246"/>
      <c r="BL70" s="246"/>
      <c r="BM70" s="246"/>
      <c r="BN70" s="246"/>
    </row>
    <row r="71" spans="1:24" ht="12">
      <c r="A71" s="256" t="s">
        <v>113</v>
      </c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4"/>
      <c r="V71" s="187"/>
      <c r="W71" s="187"/>
      <c r="X71" s="187"/>
    </row>
    <row r="72" spans="1:24" ht="12">
      <c r="A72" s="257" t="s">
        <v>66</v>
      </c>
      <c r="B72" s="258"/>
      <c r="C72" s="223"/>
      <c r="D72" s="258"/>
      <c r="E72" s="223"/>
      <c r="F72" s="258"/>
      <c r="G72" s="258"/>
      <c r="H72" s="258"/>
      <c r="I72" s="258"/>
      <c r="J72" s="258"/>
      <c r="K72" s="223"/>
      <c r="L72" s="258"/>
      <c r="M72" s="258"/>
      <c r="N72" s="223"/>
      <c r="O72" s="258"/>
      <c r="P72" s="258"/>
      <c r="Q72" s="223"/>
      <c r="R72" s="258"/>
      <c r="S72" s="258"/>
      <c r="T72" s="258"/>
      <c r="U72" s="224"/>
      <c r="V72" s="190"/>
      <c r="W72" s="190"/>
      <c r="X72" s="190"/>
    </row>
    <row r="73" spans="1:24" ht="12">
      <c r="A73" s="259"/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192"/>
      <c r="W73" s="192"/>
      <c r="X73" s="192"/>
    </row>
    <row r="74" spans="1:24" ht="12">
      <c r="A74" s="260"/>
      <c r="B74" s="200"/>
      <c r="C74" s="225"/>
      <c r="D74" s="225"/>
      <c r="E74" s="225"/>
      <c r="F74" s="200"/>
      <c r="G74" s="200"/>
      <c r="H74" s="200"/>
      <c r="I74" s="200"/>
      <c r="J74" s="200"/>
      <c r="K74" s="225"/>
      <c r="L74" s="200"/>
      <c r="M74" s="200"/>
      <c r="N74" s="225"/>
      <c r="O74" s="200"/>
      <c r="P74" s="200"/>
      <c r="Q74" s="225"/>
      <c r="R74" s="200"/>
      <c r="S74" s="200"/>
      <c r="T74" s="200"/>
      <c r="U74" s="224"/>
      <c r="V74" s="200"/>
      <c r="W74" s="200"/>
      <c r="X74" s="200"/>
    </row>
    <row r="75" spans="1:24" ht="12">
      <c r="A75" s="260"/>
      <c r="B75" s="200"/>
      <c r="C75" s="225"/>
      <c r="D75" s="225"/>
      <c r="E75" s="225"/>
      <c r="F75" s="200"/>
      <c r="G75" s="200"/>
      <c r="H75" s="200"/>
      <c r="I75" s="200"/>
      <c r="J75" s="200"/>
      <c r="K75" s="225"/>
      <c r="L75" s="200"/>
      <c r="M75" s="200"/>
      <c r="N75" s="225"/>
      <c r="O75" s="200"/>
      <c r="P75" s="200"/>
      <c r="Q75" s="225"/>
      <c r="R75" s="200"/>
      <c r="S75" s="200"/>
      <c r="T75" s="200"/>
      <c r="U75" s="224"/>
      <c r="V75" s="200"/>
      <c r="W75" s="200"/>
      <c r="X75" s="200"/>
    </row>
    <row r="76" spans="1:24" ht="12">
      <c r="A76" s="260"/>
      <c r="B76" s="200"/>
      <c r="C76" s="225"/>
      <c r="D76" s="225"/>
      <c r="E76" s="225"/>
      <c r="F76" s="200"/>
      <c r="G76" s="200"/>
      <c r="H76" s="200"/>
      <c r="I76" s="200"/>
      <c r="J76" s="200"/>
      <c r="K76" s="225"/>
      <c r="L76" s="200"/>
      <c r="M76" s="200"/>
      <c r="N76" s="225"/>
      <c r="O76" s="200"/>
      <c r="P76" s="200"/>
      <c r="Q76" s="225"/>
      <c r="R76" s="200"/>
      <c r="S76" s="200"/>
      <c r="T76" s="200"/>
      <c r="U76" s="224"/>
      <c r="V76" s="200"/>
      <c r="W76" s="200"/>
      <c r="X76" s="200"/>
    </row>
    <row r="77" spans="1:24" ht="12">
      <c r="A77" s="260"/>
      <c r="B77" s="200"/>
      <c r="C77" s="225"/>
      <c r="D77" s="225"/>
      <c r="E77" s="225"/>
      <c r="F77" s="200"/>
      <c r="G77" s="200"/>
      <c r="H77" s="200"/>
      <c r="I77" s="200"/>
      <c r="J77" s="200"/>
      <c r="K77" s="225"/>
      <c r="L77" s="200"/>
      <c r="M77" s="200"/>
      <c r="N77" s="225"/>
      <c r="O77" s="200"/>
      <c r="P77" s="200"/>
      <c r="Q77" s="225"/>
      <c r="R77" s="200"/>
      <c r="S77" s="200"/>
      <c r="T77" s="200"/>
      <c r="U77" s="224"/>
      <c r="V77" s="200"/>
      <c r="W77" s="200"/>
      <c r="X77" s="200"/>
    </row>
    <row r="78" spans="1:24" ht="12">
      <c r="A78" s="260"/>
      <c r="B78" s="200"/>
      <c r="C78" s="225"/>
      <c r="D78" s="225"/>
      <c r="E78" s="225"/>
      <c r="F78" s="200"/>
      <c r="G78" s="200"/>
      <c r="H78" s="200"/>
      <c r="I78" s="200"/>
      <c r="J78" s="225"/>
      <c r="K78" s="225"/>
      <c r="L78" s="200"/>
      <c r="M78" s="200"/>
      <c r="N78" s="225"/>
      <c r="O78" s="200"/>
      <c r="P78" s="200"/>
      <c r="Q78" s="225"/>
      <c r="R78" s="200"/>
      <c r="S78" s="200"/>
      <c r="T78" s="200"/>
      <c r="U78" s="224"/>
      <c r="V78" s="200"/>
      <c r="W78" s="200"/>
      <c r="X78" s="200"/>
    </row>
    <row r="79" spans="1:24" ht="12">
      <c r="A79" s="260"/>
      <c r="B79" s="200"/>
      <c r="C79" s="225"/>
      <c r="D79" s="200"/>
      <c r="E79" s="225"/>
      <c r="F79" s="200"/>
      <c r="G79" s="200"/>
      <c r="H79" s="200"/>
      <c r="I79" s="200"/>
      <c r="J79" s="200"/>
      <c r="K79" s="225"/>
      <c r="L79" s="200"/>
      <c r="M79" s="200"/>
      <c r="N79" s="225"/>
      <c r="O79" s="200"/>
      <c r="P79" s="200"/>
      <c r="Q79" s="225"/>
      <c r="R79" s="200"/>
      <c r="S79" s="200"/>
      <c r="T79" s="200"/>
      <c r="U79" s="224"/>
      <c r="V79" s="200"/>
      <c r="W79" s="200"/>
      <c r="X79" s="200"/>
    </row>
    <row r="80" spans="1:24" ht="12">
      <c r="A80" s="264"/>
      <c r="B80" s="264"/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03"/>
      <c r="U80" s="224"/>
      <c r="V80" s="203"/>
      <c r="W80" s="203"/>
      <c r="X80" s="203"/>
    </row>
    <row r="81" spans="1:24" ht="12">
      <c r="A81" s="264"/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00"/>
      <c r="U81" s="224"/>
      <c r="V81" s="200"/>
      <c r="W81" s="200"/>
      <c r="X81" s="200"/>
    </row>
    <row r="82" spans="1:24" ht="12">
      <c r="A82" s="164"/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</row>
    <row r="83" spans="1:24" ht="12">
      <c r="A83" s="262"/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63"/>
      <c r="V83" s="203"/>
      <c r="W83" s="203"/>
      <c r="X83" s="203"/>
    </row>
  </sheetData>
  <sheetProtection/>
  <mergeCells count="1">
    <mergeCell ref="B3:T3"/>
  </mergeCells>
  <printOptions/>
  <pageMargins left="0.5511811023622047" right="0.2362204724409449" top="0.5511811023622047" bottom="0.1968503937007874" header="0.5118110236220472" footer="0.2362204724409449"/>
  <pageSetup fitToHeight="1" fitToWidth="1" orientation="portrait" paperSize="9" scale="68" r:id="rId1"/>
  <headerFooter alignWithMargins="0">
    <oddHeader>&amp;R&amp;F</oddHeader>
    <oddFooter>&amp;LComune di Bologna - Dipartimento Programmazione - Settore Statistica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Candida Ranalli</cp:lastModifiedBy>
  <cp:lastPrinted>2013-03-27T15:35:05Z</cp:lastPrinted>
  <dcterms:modified xsi:type="dcterms:W3CDTF">2023-08-04T10:29:33Z</dcterms:modified>
  <cp:category/>
  <cp:version/>
  <cp:contentType/>
  <cp:contentStatus/>
</cp:coreProperties>
</file>